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1"/>
  <workbookPr/>
  <mc:AlternateContent xmlns:mc="http://schemas.openxmlformats.org/markup-compatibility/2006">
    <mc:Choice Requires="x15">
      <x15ac:absPath xmlns:x15ac="http://schemas.microsoft.com/office/spreadsheetml/2010/11/ac" url="Q:\48020\005\Cost of Service Modeling\Transmission Model\"/>
    </mc:Choice>
  </mc:AlternateContent>
  <xr:revisionPtr revIDLastSave="0" documentId="8_{27783314-E50E-4129-BA20-7DB0044EE9C2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Adjustments" sheetId="17" r:id="rId1"/>
    <sheet name="Cost of Service Factors-Exh. I" sheetId="5" r:id="rId2"/>
    <sheet name="Point-to-Point Rate - Exh. I-1" sheetId="21" r:id="rId3"/>
    <sheet name="PTP Rate On Off Peak - Exhx.I-2" sheetId="22" r:id="rId4"/>
    <sheet name="Cost of Service-Exh. II" sheetId="4" r:id="rId5"/>
    <sheet name="Allocation Factors-Exh. III" sheetId="15" r:id="rId6"/>
    <sheet name="O&amp;M Expenses-Exh. IV" sheetId="6" r:id="rId7"/>
    <sheet name="Gross Plant In Service-Exh. V" sheetId="1" r:id="rId8"/>
    <sheet name="Accumulated Reserves-Exh. VI" sheetId="2" r:id="rId9"/>
    <sheet name="NPIS &amp; Rate Base-Exh. VII" sheetId="3" r:id="rId10"/>
    <sheet name="M&amp;S &amp; Prepayments-Exh. VIII" sheetId="14" r:id="rId11"/>
    <sheet name="Taxes-Other-Exh. IX" sheetId="11" r:id="rId12"/>
    <sheet name="Rate of Return-Exh. X" sheetId="7" r:id="rId13"/>
    <sheet name="Revenue Credits-Exh. XI" sheetId="13" r:id="rId14"/>
    <sheet name="System Load-Exh. XII" sheetId="20" r:id="rId15"/>
    <sheet name="Explanation of Differences" sheetId="10" r:id="rId16"/>
    <sheet name="Comparison to 2017 COSA" sheetId="8" r:id="rId17"/>
    <sheet name="2015 COSA" sheetId="9" r:id="rId18"/>
  </sheets>
  <externalReferences>
    <externalReference r:id="rId19"/>
  </externalReferences>
  <definedNames>
    <definedName name="_xlnm.Print_Area" localSheetId="17">'2015 COSA'!$A$1:$H$40</definedName>
    <definedName name="_xlnm.Print_Area" localSheetId="8">'Accumulated Reserves-Exh. VI'!$A$1:$H$92</definedName>
    <definedName name="_xlnm.Print_Area" localSheetId="0">Adjustments!$A$1:$C$75</definedName>
    <definedName name="_xlnm.Print_Area" localSheetId="5">'Allocation Factors-Exh. III'!$A$1:$J$47</definedName>
    <definedName name="_xlnm.Print_Area" localSheetId="16">'Comparison to 2017 COSA'!$A$1:$E$51</definedName>
    <definedName name="_xlnm.Print_Area" localSheetId="1">'Cost of Service Factors-Exh. I'!$A$1:$F$52</definedName>
    <definedName name="_xlnm.Print_Area" localSheetId="4">'Cost of Service-Exh. II'!$A$1:$E$67</definedName>
    <definedName name="_xlnm.Print_Area" localSheetId="15">'Explanation of Differences'!$A$1:$B$97</definedName>
    <definedName name="_xlnm.Print_Area" localSheetId="7">'Gross Plant In Service-Exh. V'!$A$1:$H$92</definedName>
    <definedName name="_xlnm.Print_Area" localSheetId="10">'M&amp;S &amp; Prepayments-Exh. VIII'!$A$1:$Q$20</definedName>
    <definedName name="_xlnm.Print_Area" localSheetId="9">'NPIS &amp; Rate Base-Exh. VII'!$A$1:$H$99</definedName>
    <definedName name="_xlnm.Print_Area" localSheetId="6">'O&amp;M Expenses-Exh. IV'!$A$1:$K$132</definedName>
    <definedName name="_xlnm.Print_Area" localSheetId="12">'Rate of Return-Exh. X'!$A$1:$I$28</definedName>
    <definedName name="_xlnm.Print_Area" localSheetId="11">'Taxes-Other-Exh. IX'!$A$1:$E$47</definedName>
    <definedName name="_xlnm.Print_Titles" localSheetId="0">Adjustments!$1:$1</definedName>
    <definedName name="_xlnm.Print_Titles" localSheetId="15">'Explanation of Differences'!$A:$B</definedName>
    <definedName name="_xlnm.Print_Titles" localSheetId="6">'O&amp;M Expenses-Exh. IV'!$1:$11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3" l="1"/>
  <c r="M24" i="13"/>
  <c r="L24" i="13"/>
  <c r="K24" i="13"/>
  <c r="J24" i="13"/>
  <c r="I24" i="13"/>
  <c r="H24" i="13"/>
  <c r="A32" i="21"/>
  <c r="A31" i="21"/>
  <c r="A29" i="21"/>
  <c r="A28" i="21"/>
  <c r="A24" i="21"/>
  <c r="A23" i="21"/>
  <c r="A22" i="21"/>
  <c r="A18" i="21"/>
  <c r="A17" i="21"/>
  <c r="D36" i="22"/>
  <c r="D16" i="22"/>
  <c r="A45" i="22"/>
  <c r="A44" i="22"/>
  <c r="A41" i="22"/>
  <c r="A40" i="22"/>
  <c r="A38" i="22"/>
  <c r="A37" i="22"/>
  <c r="A35" i="22"/>
  <c r="A34" i="22"/>
  <c r="D32" i="22"/>
  <c r="A30" i="22"/>
  <c r="A29" i="22"/>
  <c r="A28" i="22"/>
  <c r="A25" i="22"/>
  <c r="A24" i="22"/>
  <c r="A21" i="22"/>
  <c r="A20" i="22"/>
  <c r="A18" i="22"/>
  <c r="A17" i="22"/>
  <c r="A15" i="22"/>
  <c r="A14" i="22"/>
  <c r="D12" i="22"/>
  <c r="D30" i="21"/>
  <c r="D26" i="21"/>
  <c r="D16" i="21"/>
  <c r="D12" i="21"/>
  <c r="A15" i="21"/>
  <c r="A14" i="21"/>
  <c r="D16" i="5" l="1"/>
  <c r="D32" i="5"/>
  <c r="Q25" i="20"/>
  <c r="P25" i="20"/>
  <c r="M25" i="20"/>
  <c r="K25" i="20"/>
  <c r="J25" i="20"/>
  <c r="I25" i="20"/>
  <c r="H25" i="20"/>
  <c r="G25" i="20"/>
  <c r="E25" i="20"/>
  <c r="T24" i="20"/>
  <c r="N24" i="20"/>
  <c r="S24" i="20" s="1"/>
  <c r="T23" i="20"/>
  <c r="N23" i="20"/>
  <c r="S23" i="20" s="1"/>
  <c r="T22" i="20"/>
  <c r="N22" i="20"/>
  <c r="S22" i="20" s="1"/>
  <c r="T21" i="20"/>
  <c r="N21" i="20"/>
  <c r="S21" i="20" s="1"/>
  <c r="T20" i="20"/>
  <c r="N20" i="20"/>
  <c r="S20" i="20" s="1"/>
  <c r="T19" i="20"/>
  <c r="N19" i="20"/>
  <c r="S19" i="20" s="1"/>
  <c r="T18" i="20"/>
  <c r="N18" i="20"/>
  <c r="S18" i="20" s="1"/>
  <c r="T17" i="20"/>
  <c r="N17" i="20"/>
  <c r="S17" i="20" s="1"/>
  <c r="T16" i="20"/>
  <c r="N16" i="20"/>
  <c r="S16" i="20" s="1"/>
  <c r="T15" i="20"/>
  <c r="N15" i="20"/>
  <c r="S15" i="20" s="1"/>
  <c r="T14" i="20"/>
  <c r="N14" i="20"/>
  <c r="N25" i="20" s="1"/>
  <c r="A14" i="20"/>
  <c r="T13" i="20"/>
  <c r="T25" i="20" s="1"/>
  <c r="N13" i="20"/>
  <c r="S13" i="20" s="1"/>
  <c r="A13" i="20"/>
  <c r="S25" i="20" l="1"/>
  <c r="S14" i="20"/>
  <c r="A15" i="20"/>
  <c r="A16" i="20" s="1"/>
  <c r="A17" i="20" l="1"/>
  <c r="A18" i="20" s="1"/>
  <c r="A19" i="20" l="1"/>
  <c r="A20" i="20"/>
  <c r="A21" i="20" l="1"/>
  <c r="A22" i="20" l="1"/>
  <c r="A23" i="20" s="1"/>
  <c r="A24" i="20" s="1"/>
  <c r="A25" i="20" s="1"/>
  <c r="K3" i="2" l="1"/>
  <c r="M13" i="2"/>
  <c r="K14" i="2"/>
  <c r="K15" i="2"/>
  <c r="F114" i="6" l="1"/>
  <c r="C48" i="17"/>
  <c r="E18" i="1" l="1"/>
  <c r="E92" i="1"/>
  <c r="A91" i="3"/>
  <c r="A89" i="3"/>
  <c r="A87" i="3"/>
  <c r="A83" i="3"/>
  <c r="A81" i="3"/>
  <c r="A65" i="3"/>
  <c r="A64" i="3"/>
  <c r="A62" i="3"/>
  <c r="A50" i="3"/>
  <c r="A49" i="3"/>
  <c r="A38" i="3"/>
  <c r="A37" i="3"/>
  <c r="A34" i="3"/>
  <c r="A20" i="3"/>
  <c r="A19" i="3"/>
  <c r="H14" i="3"/>
  <c r="H16" i="3"/>
  <c r="G16" i="3"/>
  <c r="E14" i="3"/>
  <c r="H11" i="3"/>
  <c r="G11" i="3"/>
  <c r="A84" i="2"/>
  <c r="A68" i="2"/>
  <c r="A67" i="2"/>
  <c r="A65" i="2"/>
  <c r="A53" i="2"/>
  <c r="A52" i="2"/>
  <c r="A51" i="2"/>
  <c r="A40" i="2"/>
  <c r="A39" i="2"/>
  <c r="A36" i="2"/>
  <c r="A35" i="2"/>
  <c r="A21" i="2"/>
  <c r="A20" i="2"/>
  <c r="F15" i="2"/>
  <c r="E19" i="2"/>
  <c r="A34" i="1"/>
  <c r="E14" i="1"/>
  <c r="E17" i="1" s="1"/>
  <c r="F16" i="1"/>
  <c r="F15" i="1"/>
  <c r="F11" i="1"/>
  <c r="E12" i="1"/>
  <c r="F14" i="1" l="1"/>
  <c r="E79" i="3" l="1"/>
  <c r="E33" i="2"/>
  <c r="F33" i="2" s="1"/>
  <c r="E80" i="1"/>
  <c r="E32" i="1"/>
  <c r="E78" i="3"/>
  <c r="E32" i="2"/>
  <c r="F32" i="2" s="1"/>
  <c r="E31" i="1"/>
  <c r="F31" i="1" s="1"/>
  <c r="F32" i="1" l="1"/>
  <c r="E32" i="3"/>
  <c r="F32" i="3" s="1"/>
  <c r="E31" i="3"/>
  <c r="F31" i="3" s="1"/>
  <c r="E77" i="3"/>
  <c r="E31" i="2"/>
  <c r="F31" i="2" s="1"/>
  <c r="E30" i="1"/>
  <c r="E79" i="2"/>
  <c r="E83" i="2" s="1"/>
  <c r="I20" i="4"/>
  <c r="F30" i="1" l="1"/>
  <c r="E30" i="3"/>
  <c r="F30" i="3" s="1"/>
  <c r="J27" i="6" l="1"/>
  <c r="I27" i="6"/>
  <c r="F27" i="6"/>
  <c r="G26" i="6"/>
  <c r="E27" i="6"/>
  <c r="H26" i="6" l="1"/>
  <c r="C36" i="17" l="1"/>
  <c r="A4" i="17" l="1"/>
  <c r="A5" i="17" s="1"/>
  <c r="A6" i="17" s="1"/>
  <c r="A8" i="17" l="1"/>
  <c r="A9" i="17" s="1"/>
  <c r="A10" i="17" s="1"/>
  <c r="A11" i="17" s="1"/>
  <c r="A13" i="17" s="1"/>
  <c r="A14" i="17" s="1"/>
  <c r="E47" i="3"/>
  <c r="C28" i="17"/>
  <c r="A17" i="17" l="1"/>
  <c r="A18" i="17" s="1"/>
  <c r="A19" i="17" s="1"/>
  <c r="A21" i="17" s="1"/>
  <c r="A22" i="17" s="1"/>
  <c r="A16" i="17"/>
  <c r="C19" i="17"/>
  <c r="E46" i="3"/>
  <c r="A24" i="17" l="1"/>
  <c r="A25" i="17" s="1"/>
  <c r="A26" i="17" s="1"/>
  <c r="A28" i="17" s="1"/>
  <c r="A30" i="17" s="1"/>
  <c r="A31" i="17" s="1"/>
  <c r="C70" i="17"/>
  <c r="A34" i="17" l="1"/>
  <c r="A35" i="17" s="1"/>
  <c r="A36" i="17" s="1"/>
  <c r="A38" i="17" s="1"/>
  <c r="A39" i="17" s="1"/>
  <c r="A40" i="17" s="1"/>
  <c r="A41" i="17" s="1"/>
  <c r="A42" i="17" s="1"/>
  <c r="A43" i="17" s="1"/>
  <c r="A45" i="17" s="1"/>
  <c r="A46" i="17" s="1"/>
  <c r="A47" i="17" s="1"/>
  <c r="A48" i="17" s="1"/>
  <c r="A50" i="17" s="1"/>
  <c r="A51" i="17" s="1"/>
  <c r="A52" i="17" s="1"/>
  <c r="A53" i="17" s="1"/>
  <c r="A54" i="17" s="1"/>
  <c r="A56" i="17" s="1"/>
  <c r="A58" i="17" s="1"/>
  <c r="A60" i="17" s="1"/>
  <c r="A62" i="17" s="1"/>
  <c r="A64" i="17" s="1"/>
  <c r="A65" i="17" s="1"/>
  <c r="A67" i="17" s="1"/>
  <c r="A68" i="17" s="1"/>
  <c r="A69" i="17" s="1"/>
  <c r="A70" i="17" s="1"/>
  <c r="A72" i="17" s="1"/>
  <c r="A73" i="17" s="1"/>
  <c r="A74" i="17" s="1"/>
  <c r="A75" i="17" s="1"/>
  <c r="A33" i="17"/>
  <c r="C11" i="17"/>
  <c r="C60" i="17" l="1"/>
  <c r="G49" i="2"/>
  <c r="F92" i="1"/>
  <c r="G92" i="1"/>
  <c r="G47" i="3"/>
  <c r="G46" i="3"/>
  <c r="E50" i="2"/>
  <c r="E30" i="2"/>
  <c r="E29" i="2"/>
  <c r="G48" i="2"/>
  <c r="E48" i="1"/>
  <c r="E29" i="1"/>
  <c r="E28" i="1"/>
  <c r="G47" i="1"/>
  <c r="G46" i="1"/>
  <c r="F14" i="3"/>
  <c r="F29" i="2" l="1"/>
  <c r="E34" i="2"/>
  <c r="F30" i="2"/>
  <c r="F29" i="1"/>
  <c r="F28" i="1"/>
  <c r="E33" i="1"/>
  <c r="C18" i="4"/>
  <c r="D46" i="4" s="1"/>
  <c r="G14" i="3"/>
  <c r="E28" i="3"/>
  <c r="F28" i="3" s="1"/>
  <c r="E29" i="3"/>
  <c r="F29" i="3" s="1"/>
  <c r="A2" i="13" l="1"/>
  <c r="A2" i="7"/>
  <c r="A2" i="11"/>
  <c r="A2" i="14"/>
  <c r="A2" i="15" l="1"/>
  <c r="A13" i="11" l="1"/>
  <c r="A12" i="11"/>
  <c r="D44" i="11"/>
  <c r="D23" i="11"/>
  <c r="A14" i="11" l="1"/>
  <c r="A15" i="11"/>
  <c r="A16" i="11" s="1"/>
  <c r="A17" i="11" l="1"/>
  <c r="A18" i="11" l="1"/>
  <c r="A19" i="11" l="1"/>
  <c r="A20" i="11" s="1"/>
  <c r="A21" i="11" s="1"/>
  <c r="A41" i="15"/>
  <c r="A39" i="15"/>
  <c r="E38" i="15"/>
  <c r="H37" i="15"/>
  <c r="H36" i="15"/>
  <c r="H35" i="15"/>
  <c r="J35" i="15" s="1"/>
  <c r="G96" i="3" s="1"/>
  <c r="G79" i="3" s="1"/>
  <c r="H34" i="15"/>
  <c r="J34" i="15" s="1"/>
  <c r="G88" i="2" s="1"/>
  <c r="A33" i="15"/>
  <c r="A30" i="15"/>
  <c r="J26" i="15"/>
  <c r="A24" i="15"/>
  <c r="A23" i="15"/>
  <c r="A19" i="15"/>
  <c r="A18" i="15"/>
  <c r="G77" i="3" l="1"/>
  <c r="G78" i="3"/>
  <c r="E124" i="6"/>
  <c r="G89" i="2"/>
  <c r="G82" i="2" s="1"/>
  <c r="C50" i="4"/>
  <c r="G85" i="1"/>
  <c r="G95" i="3"/>
  <c r="C51" i="4"/>
  <c r="G86" i="1"/>
  <c r="E123" i="6"/>
  <c r="J36" i="15"/>
  <c r="J37" i="15"/>
  <c r="H38" i="15"/>
  <c r="G12" i="1" l="1"/>
  <c r="G17" i="1"/>
  <c r="K17" i="2" s="1"/>
  <c r="G16" i="2" s="1"/>
  <c r="G78" i="1"/>
  <c r="G79" i="1"/>
  <c r="G80" i="2"/>
  <c r="G81" i="2"/>
  <c r="G77" i="1"/>
  <c r="J38" i="15"/>
  <c r="G97" i="3"/>
  <c r="H79" i="3" s="1"/>
  <c r="G87" i="1"/>
  <c r="C52" i="4"/>
  <c r="G90" i="2"/>
  <c r="H82" i="2" s="1"/>
  <c r="E125" i="6"/>
  <c r="G98" i="3"/>
  <c r="G88" i="1"/>
  <c r="C53" i="4"/>
  <c r="G91" i="2"/>
  <c r="E126" i="6"/>
  <c r="J40" i="15"/>
  <c r="K5" i="2" l="1"/>
  <c r="G15" i="3"/>
  <c r="H12" i="1"/>
  <c r="H17" i="1"/>
  <c r="K18" i="2" s="1"/>
  <c r="H78" i="1"/>
  <c r="H79" i="1"/>
  <c r="H77" i="3"/>
  <c r="H78" i="3"/>
  <c r="H80" i="2"/>
  <c r="H81" i="2"/>
  <c r="H16" i="2"/>
  <c r="H77" i="1"/>
  <c r="K15" i="14"/>
  <c r="K14" i="14"/>
  <c r="J15" i="14"/>
  <c r="J14" i="14"/>
  <c r="A22" i="14"/>
  <c r="A21" i="14"/>
  <c r="G20" i="14"/>
  <c r="F20" i="14"/>
  <c r="H19" i="14"/>
  <c r="H20" i="14" s="1"/>
  <c r="A18" i="14"/>
  <c r="A17" i="14"/>
  <c r="G16" i="14"/>
  <c r="F16" i="14"/>
  <c r="H15" i="14"/>
  <c r="H14" i="14"/>
  <c r="A14" i="14"/>
  <c r="A15" i="14" s="1"/>
  <c r="K6" i="2" l="1"/>
  <c r="N14" i="14"/>
  <c r="O14" i="14"/>
  <c r="H15" i="3"/>
  <c r="O15" i="14"/>
  <c r="O16" i="14" s="1"/>
  <c r="H16" i="14"/>
  <c r="N15" i="14"/>
  <c r="A16" i="14"/>
  <c r="A19" i="14" s="1"/>
  <c r="N19" i="14"/>
  <c r="O19" i="14"/>
  <c r="O20" i="14" s="1"/>
  <c r="P19" i="14"/>
  <c r="P20" i="14" s="1"/>
  <c r="I21" i="4" l="1"/>
  <c r="I23" i="4" s="1"/>
  <c r="N16" i="14"/>
  <c r="A20" i="14"/>
  <c r="Q19" i="14"/>
  <c r="N20" i="14"/>
  <c r="Q20" i="14" l="1"/>
  <c r="E85" i="3"/>
  <c r="A25" i="13"/>
  <c r="D36" i="4"/>
  <c r="M22" i="13"/>
  <c r="M21" i="13"/>
  <c r="M20" i="13"/>
  <c r="M19" i="13"/>
  <c r="A18" i="13"/>
  <c r="A17" i="13"/>
  <c r="L16" i="13"/>
  <c r="K16" i="13"/>
  <c r="J16" i="13"/>
  <c r="I16" i="13"/>
  <c r="E37" i="4" s="1"/>
  <c r="H16" i="13"/>
  <c r="M15" i="13"/>
  <c r="M14" i="13"/>
  <c r="M13" i="13"/>
  <c r="A13" i="13" s="1"/>
  <c r="A31" i="11"/>
  <c r="C36" i="4" l="1"/>
  <c r="M16" i="13"/>
  <c r="C37" i="4" s="1"/>
  <c r="A14" i="13"/>
  <c r="A15" i="13" s="1"/>
  <c r="A16" i="13" l="1"/>
  <c r="A19" i="13" s="1"/>
  <c r="C62" i="17"/>
  <c r="A20" i="13" l="1"/>
  <c r="A21" i="13" l="1"/>
  <c r="A22" i="13" s="1"/>
  <c r="A17" i="8"/>
  <c r="A1" i="2"/>
  <c r="A1" i="3"/>
  <c r="A10" i="2"/>
  <c r="A1" i="1"/>
  <c r="A9" i="1"/>
  <c r="A9" i="4"/>
  <c r="A2" i="6"/>
  <c r="A2" i="4"/>
  <c r="A11" i="2" l="1"/>
  <c r="A10" i="1"/>
  <c r="B88" i="10"/>
  <c r="B79" i="10"/>
  <c r="B42" i="10"/>
  <c r="G47" i="8"/>
  <c r="C47" i="8"/>
  <c r="H46" i="8"/>
  <c r="I46" i="8" s="1"/>
  <c r="D46" i="8"/>
  <c r="E46" i="8" s="1"/>
  <c r="E44" i="8"/>
  <c r="B77" i="10" s="1"/>
  <c r="H45" i="8"/>
  <c r="I45" i="8" s="1"/>
  <c r="H44" i="8"/>
  <c r="I44" i="8" s="1"/>
  <c r="D45" i="8"/>
  <c r="E45" i="8" s="1"/>
  <c r="B78" i="10" s="1"/>
  <c r="D44" i="8"/>
  <c r="H43" i="8"/>
  <c r="D43" i="8"/>
  <c r="E43" i="8" s="1"/>
  <c r="B76" i="10" s="1"/>
  <c r="H42" i="8"/>
  <c r="I42" i="8" s="1"/>
  <c r="D42" i="8"/>
  <c r="H32" i="8"/>
  <c r="H30" i="8"/>
  <c r="H23" i="8"/>
  <c r="H12" i="8"/>
  <c r="H11" i="8"/>
  <c r="H15" i="8" s="1"/>
  <c r="D36" i="8"/>
  <c r="D39" i="8" s="1"/>
  <c r="D32" i="8"/>
  <c r="B60" i="10" s="1"/>
  <c r="D30" i="8"/>
  <c r="D23" i="8"/>
  <c r="D12" i="8"/>
  <c r="D10" i="8"/>
  <c r="D37" i="9"/>
  <c r="C37" i="9"/>
  <c r="D15" i="9"/>
  <c r="D20" i="9" s="1"/>
  <c r="D24" i="9" s="1"/>
  <c r="F10" i="9"/>
  <c r="B89" i="10" s="1"/>
  <c r="G8" i="9"/>
  <c r="G10" i="9" s="1"/>
  <c r="C15" i="9"/>
  <c r="C20" i="9" s="1"/>
  <c r="G36" i="8"/>
  <c r="I36" i="8" s="1"/>
  <c r="G35" i="8"/>
  <c r="G28" i="8"/>
  <c r="I28" i="8" s="1"/>
  <c r="G27" i="8"/>
  <c r="I27" i="8" s="1"/>
  <c r="G18" i="8"/>
  <c r="I18" i="8" s="1"/>
  <c r="G10" i="8"/>
  <c r="I10" i="8" s="1"/>
  <c r="C37" i="8"/>
  <c r="E37" i="8" s="1"/>
  <c r="C35" i="8"/>
  <c r="C28" i="8"/>
  <c r="E28" i="8" s="1"/>
  <c r="C27" i="8"/>
  <c r="C21" i="8"/>
  <c r="E21" i="8" s="1"/>
  <c r="C11" i="8"/>
  <c r="E11" i="8" s="1"/>
  <c r="D39" i="9" l="1"/>
  <c r="G11" i="9" s="1"/>
  <c r="G13" i="9" s="1"/>
  <c r="G17" i="9" s="1"/>
  <c r="D15" i="8"/>
  <c r="A10" i="8"/>
  <c r="H47" i="8"/>
  <c r="I43" i="8"/>
  <c r="A12" i="1"/>
  <c r="E42" i="8"/>
  <c r="B69" i="10"/>
  <c r="A11" i="1"/>
  <c r="B49" i="10"/>
  <c r="H37" i="8"/>
  <c r="H39" i="8" s="1"/>
  <c r="B90" i="10"/>
  <c r="I47" i="8"/>
  <c r="D47" i="8"/>
  <c r="D49" i="8" s="1"/>
  <c r="H49" i="8"/>
  <c r="I35" i="8"/>
  <c r="E27" i="8"/>
  <c r="E35" i="8"/>
  <c r="C24" i="9"/>
  <c r="C39" i="9" s="1"/>
  <c r="F11" i="9" s="1"/>
  <c r="H76" i="1"/>
  <c r="G76" i="1"/>
  <c r="F13" i="9" l="1"/>
  <c r="F17" i="9" s="1"/>
  <c r="B18" i="10"/>
  <c r="B29" i="10"/>
  <c r="A13" i="1"/>
  <c r="A11" i="8"/>
  <c r="E47" i="8"/>
  <c r="B75" i="10"/>
  <c r="B81" i="10" s="1"/>
  <c r="E76" i="3"/>
  <c r="H79" i="2"/>
  <c r="G79" i="2"/>
  <c r="A17" i="7"/>
  <c r="E16" i="7"/>
  <c r="I15" i="7"/>
  <c r="I14" i="7"/>
  <c r="A14" i="7" s="1"/>
  <c r="A14" i="1" l="1"/>
  <c r="A12" i="8"/>
  <c r="A13" i="8"/>
  <c r="A17" i="1"/>
  <c r="A15" i="1"/>
  <c r="A16" i="1" s="1"/>
  <c r="H76" i="3"/>
  <c r="G76" i="3"/>
  <c r="A15" i="7"/>
  <c r="I16" i="7"/>
  <c r="A15" i="8" l="1"/>
  <c r="A18" i="1"/>
  <c r="A21" i="1"/>
  <c r="A22" i="1" s="1"/>
  <c r="A16" i="7"/>
  <c r="H90" i="3"/>
  <c r="G90" i="3"/>
  <c r="F90" i="3"/>
  <c r="E90" i="3"/>
  <c r="J96" i="6"/>
  <c r="I96" i="6"/>
  <c r="H96" i="6"/>
  <c r="J90" i="6"/>
  <c r="I90" i="6"/>
  <c r="H90" i="6"/>
  <c r="J83" i="6"/>
  <c r="I83" i="6"/>
  <c r="H83" i="6"/>
  <c r="J73" i="6"/>
  <c r="I73" i="6"/>
  <c r="H73" i="6"/>
  <c r="I64" i="6"/>
  <c r="H64" i="6"/>
  <c r="J46" i="6"/>
  <c r="H46" i="6"/>
  <c r="F115" i="6"/>
  <c r="E115" i="6"/>
  <c r="G114" i="6"/>
  <c r="G113" i="6"/>
  <c r="G112" i="6"/>
  <c r="G111" i="6"/>
  <c r="G110" i="6"/>
  <c r="G109" i="6"/>
  <c r="G108" i="6"/>
  <c r="G107" i="6"/>
  <c r="G106" i="6"/>
  <c r="G105" i="6"/>
  <c r="G104" i="6"/>
  <c r="C13" i="4" s="1"/>
  <c r="G103" i="6"/>
  <c r="G102" i="6"/>
  <c r="G101" i="6"/>
  <c r="G100" i="6"/>
  <c r="A99" i="6"/>
  <c r="A98" i="6"/>
  <c r="A97" i="6"/>
  <c r="F96" i="6"/>
  <c r="E96" i="6"/>
  <c r="G95" i="6"/>
  <c r="G94" i="6"/>
  <c r="G96" i="6" s="1"/>
  <c r="A93" i="6"/>
  <c r="A92" i="6"/>
  <c r="A91" i="6"/>
  <c r="F90" i="6"/>
  <c r="E90" i="6"/>
  <c r="G89" i="6"/>
  <c r="G88" i="6"/>
  <c r="G87" i="6"/>
  <c r="G90" i="6" s="1"/>
  <c r="A86" i="6"/>
  <c r="A85" i="6"/>
  <c r="A84" i="6"/>
  <c r="F83" i="6"/>
  <c r="E83" i="6"/>
  <c r="G82" i="6"/>
  <c r="G81" i="6"/>
  <c r="G80" i="6"/>
  <c r="G79" i="6"/>
  <c r="G78" i="6"/>
  <c r="A77" i="6"/>
  <c r="A75" i="6"/>
  <c r="A74" i="6"/>
  <c r="F73" i="6"/>
  <c r="E73" i="6"/>
  <c r="G72" i="6"/>
  <c r="G71" i="6"/>
  <c r="G70" i="6"/>
  <c r="G69" i="6"/>
  <c r="G68" i="6"/>
  <c r="A67" i="6"/>
  <c r="A66" i="6"/>
  <c r="A65" i="6"/>
  <c r="E64" i="6"/>
  <c r="G63" i="6"/>
  <c r="J63" i="6" s="1"/>
  <c r="G62" i="6"/>
  <c r="J62" i="6" s="1"/>
  <c r="G61" i="6"/>
  <c r="J61" i="6" s="1"/>
  <c r="G60" i="6"/>
  <c r="J60" i="6" s="1"/>
  <c r="G59" i="6"/>
  <c r="J59" i="6" s="1"/>
  <c r="G58" i="6"/>
  <c r="J58" i="6" s="1"/>
  <c r="G57" i="6"/>
  <c r="J57" i="6" s="1"/>
  <c r="G56" i="6"/>
  <c r="J56" i="6" s="1"/>
  <c r="G55" i="6"/>
  <c r="J55" i="6" s="1"/>
  <c r="G54" i="6"/>
  <c r="J54" i="6" s="1"/>
  <c r="G53" i="6"/>
  <c r="J53" i="6" s="1"/>
  <c r="G52" i="6"/>
  <c r="J52" i="6" s="1"/>
  <c r="G51" i="6"/>
  <c r="J51" i="6" s="1"/>
  <c r="G50" i="6"/>
  <c r="A49" i="6"/>
  <c r="A48" i="6"/>
  <c r="A47" i="6"/>
  <c r="F46" i="6"/>
  <c r="E46" i="6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A30" i="6"/>
  <c r="A29" i="6"/>
  <c r="A28" i="6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A12" i="6"/>
  <c r="A18" i="8" l="1"/>
  <c r="H13" i="6"/>
  <c r="H27" i="6" s="1"/>
  <c r="G27" i="6"/>
  <c r="A23" i="1"/>
  <c r="A24" i="1" s="1"/>
  <c r="A25" i="1" s="1"/>
  <c r="A13" i="6"/>
  <c r="J111" i="6"/>
  <c r="J109" i="6"/>
  <c r="E117" i="6"/>
  <c r="J102" i="6"/>
  <c r="I46" i="6"/>
  <c r="C10" i="4" s="1"/>
  <c r="D10" i="4" s="1"/>
  <c r="G115" i="6"/>
  <c r="C12" i="4" s="1"/>
  <c r="I102" i="6"/>
  <c r="J112" i="6"/>
  <c r="G83" i="6"/>
  <c r="G64" i="6"/>
  <c r="J50" i="6"/>
  <c r="J64" i="6" s="1"/>
  <c r="C11" i="4" s="1"/>
  <c r="E11" i="4" s="1"/>
  <c r="G11" i="8" s="1"/>
  <c r="G46" i="6"/>
  <c r="F64" i="6"/>
  <c r="F117" i="6" s="1"/>
  <c r="F126" i="6"/>
  <c r="J106" i="6"/>
  <c r="J114" i="6"/>
  <c r="J100" i="6"/>
  <c r="J107" i="6"/>
  <c r="J103" i="6"/>
  <c r="J110" i="6"/>
  <c r="J105" i="6"/>
  <c r="J113" i="6"/>
  <c r="J101" i="6"/>
  <c r="J108" i="6"/>
  <c r="G73" i="6"/>
  <c r="A14" i="6"/>
  <c r="A15" i="6" s="1"/>
  <c r="A16" i="6" s="1"/>
  <c r="A34" i="5"/>
  <c r="A33" i="5"/>
  <c r="A31" i="5"/>
  <c r="A30" i="5"/>
  <c r="A26" i="5"/>
  <c r="A25" i="5"/>
  <c r="A24" i="5"/>
  <c r="A18" i="5"/>
  <c r="A17" i="5"/>
  <c r="A15" i="5"/>
  <c r="A14" i="5"/>
  <c r="A26" i="1" l="1"/>
  <c r="A19" i="8"/>
  <c r="A27" i="1"/>
  <c r="A28" i="1" s="1"/>
  <c r="A29" i="1" s="1"/>
  <c r="A30" i="1" s="1"/>
  <c r="A31" i="1" s="1"/>
  <c r="A32" i="1" s="1"/>
  <c r="A33" i="1" s="1"/>
  <c r="I103" i="6"/>
  <c r="I108" i="6"/>
  <c r="I106" i="6"/>
  <c r="I109" i="6"/>
  <c r="I113" i="6"/>
  <c r="I101" i="6"/>
  <c r="I111" i="6"/>
  <c r="I11" i="8"/>
  <c r="A10" i="4"/>
  <c r="A11" i="4" s="1"/>
  <c r="C10" i="8"/>
  <c r="C15" i="4"/>
  <c r="I114" i="6"/>
  <c r="I105" i="6"/>
  <c r="E127" i="6"/>
  <c r="G117" i="6"/>
  <c r="I100" i="6"/>
  <c r="I119" i="6" s="1"/>
  <c r="I107" i="6"/>
  <c r="I110" i="6"/>
  <c r="I112" i="6"/>
  <c r="H109" i="6"/>
  <c r="H102" i="6"/>
  <c r="H107" i="6"/>
  <c r="H114" i="6"/>
  <c r="H106" i="6"/>
  <c r="H103" i="6"/>
  <c r="H111" i="6"/>
  <c r="H110" i="6"/>
  <c r="H100" i="6"/>
  <c r="H108" i="6"/>
  <c r="H101" i="6"/>
  <c r="H105" i="6"/>
  <c r="H113" i="6"/>
  <c r="H112" i="6"/>
  <c r="A17" i="6"/>
  <c r="C39" i="4"/>
  <c r="C30" i="4"/>
  <c r="E21" i="4"/>
  <c r="G21" i="8" s="1"/>
  <c r="I21" i="8" s="1"/>
  <c r="D18" i="4"/>
  <c r="D12" i="4"/>
  <c r="A35" i="1" l="1"/>
  <c r="A20" i="8"/>
  <c r="I120" i="6"/>
  <c r="I121" i="6" s="1"/>
  <c r="A12" i="4"/>
  <c r="C12" i="8"/>
  <c r="E12" i="8" s="1"/>
  <c r="E39" i="4"/>
  <c r="G37" i="8"/>
  <c r="E10" i="8"/>
  <c r="C18" i="8"/>
  <c r="D39" i="4"/>
  <c r="C36" i="8"/>
  <c r="E12" i="4"/>
  <c r="G12" i="8" s="1"/>
  <c r="A18" i="6"/>
  <c r="A19" i="6" s="1"/>
  <c r="C54" i="4"/>
  <c r="A21" i="8" l="1"/>
  <c r="C39" i="8"/>
  <c r="B68" i="10" s="1"/>
  <c r="B70" i="10" s="1"/>
  <c r="E36" i="8"/>
  <c r="E39" i="8" s="1"/>
  <c r="E18" i="8"/>
  <c r="I37" i="8"/>
  <c r="I39" i="8" s="1"/>
  <c r="G39" i="8"/>
  <c r="I12" i="8"/>
  <c r="D54" i="4"/>
  <c r="A20" i="6"/>
  <c r="A21" i="6" s="1"/>
  <c r="A23" i="8" l="1"/>
  <c r="A26" i="8"/>
  <c r="A27" i="8" s="1"/>
  <c r="A28" i="8" s="1"/>
  <c r="A30" i="8" s="1"/>
  <c r="A32" i="8" s="1"/>
  <c r="A35" i="8" s="1"/>
  <c r="A36" i="8" s="1"/>
  <c r="A37" i="8" s="1"/>
  <c r="A39" i="8" s="1"/>
  <c r="A42" i="8" s="1"/>
  <c r="A43" i="8" s="1"/>
  <c r="A44" i="8" s="1"/>
  <c r="A45" i="8" s="1"/>
  <c r="A46" i="8" s="1"/>
  <c r="A47" i="8" s="1"/>
  <c r="A49" i="8" s="1"/>
  <c r="L15" i="14"/>
  <c r="P15" i="14" s="1"/>
  <c r="Q15" i="14" s="1"/>
  <c r="L14" i="14"/>
  <c r="P14" i="14" s="1"/>
  <c r="A22" i="6"/>
  <c r="Q14" i="14" l="1"/>
  <c r="Q16" i="14" s="1"/>
  <c r="E84" i="3" s="1"/>
  <c r="P16" i="14"/>
  <c r="A23" i="6"/>
  <c r="A24" i="6" l="1"/>
  <c r="A25" i="6" l="1"/>
  <c r="A27" i="6" s="1"/>
  <c r="A31" i="6" s="1"/>
  <c r="A32" i="6" s="1"/>
  <c r="A33" i="6" s="1"/>
  <c r="A34" i="6" s="1"/>
  <c r="A35" i="6" s="1"/>
  <c r="A36" i="6" s="1"/>
  <c r="A37" i="6" l="1"/>
  <c r="A38" i="6" s="1"/>
  <c r="A39" i="6" s="1"/>
  <c r="A40" i="6" s="1"/>
  <c r="A41" i="6" s="1"/>
  <c r="A42" i="6" s="1"/>
  <c r="A43" i="6" s="1"/>
  <c r="A44" i="6" s="1"/>
  <c r="A45" i="6" s="1"/>
  <c r="A46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8" i="6" s="1"/>
  <c r="A69" i="6" s="1"/>
  <c r="A70" i="6" s="1"/>
  <c r="A71" i="6" s="1"/>
  <c r="A72" i="6" s="1"/>
  <c r="A73" i="6" s="1"/>
  <c r="A78" i="6" s="1"/>
  <c r="A79" i="6" s="1"/>
  <c r="A80" i="6" s="1"/>
  <c r="A81" i="6" s="1"/>
  <c r="A82" i="6" s="1"/>
  <c r="A83" i="6" s="1"/>
  <c r="A87" i="6" s="1"/>
  <c r="A88" i="6" s="1"/>
  <c r="A89" i="6" s="1"/>
  <c r="A90" i="6" s="1"/>
  <c r="A94" i="6" s="1"/>
  <c r="A95" i="6" s="1"/>
  <c r="A96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F86" i="3"/>
  <c r="E75" i="3"/>
  <c r="E74" i="3"/>
  <c r="E73" i="3"/>
  <c r="E72" i="3"/>
  <c r="E71" i="3"/>
  <c r="E70" i="3"/>
  <c r="E69" i="3"/>
  <c r="E68" i="3"/>
  <c r="E67" i="3"/>
  <c r="E66" i="3"/>
  <c r="E61" i="3"/>
  <c r="H61" i="3" s="1"/>
  <c r="E60" i="3"/>
  <c r="H60" i="3" s="1"/>
  <c r="E59" i="3"/>
  <c r="H59" i="3" s="1"/>
  <c r="E58" i="3"/>
  <c r="H58" i="3" s="1"/>
  <c r="E57" i="3"/>
  <c r="E56" i="3"/>
  <c r="E55" i="3"/>
  <c r="H55" i="3" s="1"/>
  <c r="E54" i="3"/>
  <c r="E53" i="3"/>
  <c r="E52" i="3"/>
  <c r="E51" i="3"/>
  <c r="E45" i="3"/>
  <c r="E44" i="3"/>
  <c r="E43" i="3"/>
  <c r="E42" i="3"/>
  <c r="E41" i="3"/>
  <c r="E40" i="3"/>
  <c r="E39" i="3"/>
  <c r="E35" i="3"/>
  <c r="E27" i="3"/>
  <c r="E26" i="3"/>
  <c r="F26" i="3" s="1"/>
  <c r="E25" i="3"/>
  <c r="E24" i="3"/>
  <c r="E23" i="3"/>
  <c r="E22" i="3"/>
  <c r="E21" i="3"/>
  <c r="E13" i="3"/>
  <c r="E10" i="3"/>
  <c r="E9" i="3"/>
  <c r="E18" i="3" s="1"/>
  <c r="H64" i="2"/>
  <c r="H63" i="2"/>
  <c r="H62" i="2"/>
  <c r="H61" i="2"/>
  <c r="H60" i="2"/>
  <c r="H59" i="2"/>
  <c r="H58" i="2"/>
  <c r="H57" i="2"/>
  <c r="H56" i="2"/>
  <c r="H55" i="2"/>
  <c r="H54" i="2"/>
  <c r="G47" i="2"/>
  <c r="G46" i="2"/>
  <c r="G45" i="2"/>
  <c r="G44" i="2"/>
  <c r="G43" i="2"/>
  <c r="G42" i="2"/>
  <c r="G41" i="2"/>
  <c r="F37" i="2"/>
  <c r="F38" i="2" s="1"/>
  <c r="F28" i="2"/>
  <c r="F27" i="2"/>
  <c r="F26" i="2"/>
  <c r="F25" i="2"/>
  <c r="F24" i="2"/>
  <c r="F23" i="2"/>
  <c r="F22" i="2"/>
  <c r="E66" i="2"/>
  <c r="E38" i="2"/>
  <c r="H68" i="1"/>
  <c r="G74" i="1"/>
  <c r="H61" i="1"/>
  <c r="H60" i="1"/>
  <c r="H59" i="1"/>
  <c r="H58" i="1"/>
  <c r="H57" i="1"/>
  <c r="H56" i="1"/>
  <c r="H55" i="1"/>
  <c r="H54" i="1"/>
  <c r="H53" i="1"/>
  <c r="H52" i="1"/>
  <c r="H51" i="1"/>
  <c r="G45" i="1"/>
  <c r="G44" i="1"/>
  <c r="G43" i="1"/>
  <c r="G42" i="1"/>
  <c r="G41" i="1"/>
  <c r="G40" i="1"/>
  <c r="G39" i="1"/>
  <c r="F35" i="1"/>
  <c r="F36" i="1" s="1"/>
  <c r="F27" i="1"/>
  <c r="F26" i="1"/>
  <c r="F25" i="1"/>
  <c r="F24" i="1"/>
  <c r="F23" i="1"/>
  <c r="F22" i="1"/>
  <c r="F21" i="1"/>
  <c r="E63" i="1"/>
  <c r="E36" i="1"/>
  <c r="A36" i="1" s="1"/>
  <c r="F34" i="2" l="1"/>
  <c r="F33" i="1"/>
  <c r="E33" i="3"/>
  <c r="E80" i="3"/>
  <c r="A39" i="1"/>
  <c r="J20" i="15"/>
  <c r="J21" i="15"/>
  <c r="G48" i="1"/>
  <c r="J13" i="15" s="1"/>
  <c r="G50" i="2"/>
  <c r="A9" i="3"/>
  <c r="E48" i="3"/>
  <c r="F27" i="3"/>
  <c r="G45" i="3"/>
  <c r="E36" i="3"/>
  <c r="H51" i="3"/>
  <c r="G40" i="3"/>
  <c r="G41" i="3"/>
  <c r="H54" i="3"/>
  <c r="F24" i="3"/>
  <c r="G42" i="3"/>
  <c r="H52" i="3"/>
  <c r="F22" i="3"/>
  <c r="H53" i="3"/>
  <c r="F23" i="3"/>
  <c r="F25" i="3"/>
  <c r="H56" i="3"/>
  <c r="F21" i="3"/>
  <c r="G39" i="3"/>
  <c r="G44" i="3"/>
  <c r="H57" i="3"/>
  <c r="H71" i="3"/>
  <c r="E85" i="2"/>
  <c r="H77" i="2"/>
  <c r="H72" i="2"/>
  <c r="H10" i="2"/>
  <c r="A117" i="6"/>
  <c r="G72" i="2"/>
  <c r="G76" i="2"/>
  <c r="G75" i="2"/>
  <c r="H73" i="2"/>
  <c r="H69" i="1"/>
  <c r="H67" i="1"/>
  <c r="G84" i="3"/>
  <c r="G70" i="2"/>
  <c r="H75" i="2"/>
  <c r="G78" i="2"/>
  <c r="H70" i="3"/>
  <c r="H63" i="1"/>
  <c r="J25" i="15" s="1"/>
  <c r="H70" i="1"/>
  <c r="G67" i="1"/>
  <c r="G75" i="1"/>
  <c r="H71" i="1"/>
  <c r="G68" i="1"/>
  <c r="H70" i="2"/>
  <c r="G73" i="2"/>
  <c r="H78" i="2"/>
  <c r="H72" i="1"/>
  <c r="H73" i="1"/>
  <c r="G70" i="1"/>
  <c r="G71" i="2"/>
  <c r="H76" i="2"/>
  <c r="G69" i="1"/>
  <c r="H9" i="1"/>
  <c r="G66" i="1"/>
  <c r="G71" i="1"/>
  <c r="H71" i="2"/>
  <c r="G74" i="2"/>
  <c r="H66" i="1"/>
  <c r="H75" i="1"/>
  <c r="G72" i="1"/>
  <c r="G69" i="2"/>
  <c r="H74" i="2"/>
  <c r="G77" i="2"/>
  <c r="H98" i="3"/>
  <c r="F79" i="3" s="1"/>
  <c r="H74" i="1"/>
  <c r="G73" i="1"/>
  <c r="G9" i="1"/>
  <c r="H69" i="2"/>
  <c r="H75" i="3"/>
  <c r="E63" i="3"/>
  <c r="G43" i="3"/>
  <c r="F35" i="3"/>
  <c r="F36" i="3" s="1"/>
  <c r="G69" i="3"/>
  <c r="G74" i="3"/>
  <c r="G73" i="3"/>
  <c r="H73" i="3"/>
  <c r="H68" i="3"/>
  <c r="H69" i="3"/>
  <c r="H72" i="3"/>
  <c r="H66" i="3"/>
  <c r="H74" i="3"/>
  <c r="H67" i="3"/>
  <c r="H66" i="2"/>
  <c r="G92" i="2"/>
  <c r="G10" i="2"/>
  <c r="H91" i="2"/>
  <c r="A10" i="3" l="1"/>
  <c r="G18" i="1"/>
  <c r="H18" i="1"/>
  <c r="E20" i="4" s="1"/>
  <c r="F33" i="3"/>
  <c r="H80" i="3"/>
  <c r="F81" i="2"/>
  <c r="F82" i="2"/>
  <c r="G83" i="2"/>
  <c r="H83" i="2"/>
  <c r="H80" i="1"/>
  <c r="G80" i="1"/>
  <c r="F77" i="3"/>
  <c r="F78" i="3"/>
  <c r="F79" i="2"/>
  <c r="F80" i="2"/>
  <c r="J22" i="15"/>
  <c r="J16" i="15"/>
  <c r="A13" i="15"/>
  <c r="J28" i="15"/>
  <c r="A40" i="1"/>
  <c r="A41" i="1" s="1"/>
  <c r="A42" i="1" s="1"/>
  <c r="H9" i="3"/>
  <c r="H13" i="3"/>
  <c r="G48" i="3"/>
  <c r="F84" i="3"/>
  <c r="F76" i="3"/>
  <c r="H63" i="3"/>
  <c r="H10" i="3"/>
  <c r="H84" i="3"/>
  <c r="G71" i="3"/>
  <c r="G66" i="3"/>
  <c r="G68" i="3"/>
  <c r="G70" i="3"/>
  <c r="G99" i="3"/>
  <c r="G72" i="3"/>
  <c r="G67" i="3"/>
  <c r="G75" i="3"/>
  <c r="G13" i="3"/>
  <c r="G9" i="3"/>
  <c r="F78" i="2"/>
  <c r="F75" i="2"/>
  <c r="F71" i="2"/>
  <c r="F72" i="2"/>
  <c r="F77" i="2"/>
  <c r="F69" i="2"/>
  <c r="F74" i="2"/>
  <c r="F70" i="2"/>
  <c r="F76" i="2"/>
  <c r="F73" i="2"/>
  <c r="G10" i="3"/>
  <c r="G89" i="1"/>
  <c r="H88" i="1"/>
  <c r="F73" i="3"/>
  <c r="F72" i="3"/>
  <c r="F69" i="3"/>
  <c r="F70" i="3"/>
  <c r="F75" i="3"/>
  <c r="F67" i="3"/>
  <c r="F74" i="3"/>
  <c r="F66" i="3"/>
  <c r="F68" i="3"/>
  <c r="F71" i="3"/>
  <c r="F10" i="2"/>
  <c r="J23" i="4" l="1"/>
  <c r="D20" i="4"/>
  <c r="C20" i="8" s="1"/>
  <c r="F12" i="1"/>
  <c r="K4" i="2" s="1"/>
  <c r="K8" i="2" s="1"/>
  <c r="F17" i="1"/>
  <c r="K16" i="2" s="1"/>
  <c r="F80" i="3"/>
  <c r="G80" i="3"/>
  <c r="F83" i="2"/>
  <c r="F78" i="1"/>
  <c r="F79" i="1"/>
  <c r="K23" i="4"/>
  <c r="F76" i="1"/>
  <c r="F77" i="1"/>
  <c r="G20" i="8"/>
  <c r="J29" i="15"/>
  <c r="J31" i="15" s="1"/>
  <c r="J17" i="15"/>
  <c r="A14" i="15"/>
  <c r="A43" i="1"/>
  <c r="A44" i="1" s="1"/>
  <c r="H82" i="1"/>
  <c r="G82" i="1"/>
  <c r="F70" i="1"/>
  <c r="F69" i="1"/>
  <c r="F13" i="3"/>
  <c r="F68" i="1"/>
  <c r="F74" i="1"/>
  <c r="F10" i="3"/>
  <c r="F75" i="1"/>
  <c r="F67" i="1"/>
  <c r="F9" i="1"/>
  <c r="F66" i="1"/>
  <c r="F73" i="1"/>
  <c r="F72" i="1"/>
  <c r="F71" i="1"/>
  <c r="K20" i="2" l="1"/>
  <c r="L16" i="2"/>
  <c r="M16" i="2" s="1"/>
  <c r="F18" i="2" s="1"/>
  <c r="L4" i="2"/>
  <c r="M4" i="2" s="1"/>
  <c r="F13" i="2" s="1"/>
  <c r="F12" i="3" s="1"/>
  <c r="L3" i="2"/>
  <c r="L5" i="2"/>
  <c r="M5" i="2" s="1"/>
  <c r="G13" i="2" s="1"/>
  <c r="L6" i="2"/>
  <c r="M6" i="2" s="1"/>
  <c r="H13" i="2" s="1"/>
  <c r="F18" i="1"/>
  <c r="F80" i="1"/>
  <c r="E20" i="8"/>
  <c r="I20" i="8"/>
  <c r="D28" i="5"/>
  <c r="A15" i="15"/>
  <c r="D12" i="5"/>
  <c r="A45" i="1"/>
  <c r="D59" i="4"/>
  <c r="G26" i="8"/>
  <c r="I26" i="8" s="1"/>
  <c r="I30" i="8" s="1"/>
  <c r="E30" i="4"/>
  <c r="D58" i="4"/>
  <c r="C26" i="8"/>
  <c r="F9" i="3"/>
  <c r="G12" i="3" l="1"/>
  <c r="L8" i="2"/>
  <c r="M3" i="2"/>
  <c r="H12" i="3"/>
  <c r="F17" i="3"/>
  <c r="L15" i="2"/>
  <c r="M15" i="2" s="1"/>
  <c r="E17" i="2" s="1"/>
  <c r="L14" i="2"/>
  <c r="L17" i="2"/>
  <c r="M17" i="2" s="1"/>
  <c r="G18" i="2" s="1"/>
  <c r="G17" i="3" s="1"/>
  <c r="L18" i="2"/>
  <c r="M18" i="2" s="1"/>
  <c r="H18" i="2" s="1"/>
  <c r="H17" i="3" s="1"/>
  <c r="A48" i="1"/>
  <c r="A51" i="1" s="1"/>
  <c r="A52" i="1" s="1"/>
  <c r="A53" i="1" s="1"/>
  <c r="A54" i="1" s="1"/>
  <c r="A55" i="1" s="1"/>
  <c r="A56" i="1" s="1"/>
  <c r="A16" i="15"/>
  <c r="G30" i="8"/>
  <c r="D30" i="4"/>
  <c r="E26" i="8"/>
  <c r="E30" i="8" s="1"/>
  <c r="C30" i="8"/>
  <c r="B48" i="10" s="1"/>
  <c r="B50" i="10" s="1"/>
  <c r="F82" i="1"/>
  <c r="I82" i="1" s="1"/>
  <c r="H19" i="2" l="1"/>
  <c r="H85" i="2" s="1"/>
  <c r="H18" i="3"/>
  <c r="H82" i="3" s="1"/>
  <c r="M8" i="2"/>
  <c r="E12" i="2"/>
  <c r="L20" i="2"/>
  <c r="M14" i="2"/>
  <c r="G19" i="2"/>
  <c r="G85" i="2" s="1"/>
  <c r="E16" i="3"/>
  <c r="F17" i="2"/>
  <c r="F16" i="3" s="1"/>
  <c r="G18" i="3"/>
  <c r="G82" i="3" s="1"/>
  <c r="E18" i="2"/>
  <c r="A17" i="15"/>
  <c r="A20" i="15" s="1"/>
  <c r="E17" i="15"/>
  <c r="A57" i="1"/>
  <c r="A58" i="1" s="1"/>
  <c r="A59" i="1" s="1"/>
  <c r="A60" i="1" s="1"/>
  <c r="A61" i="1" s="1"/>
  <c r="A63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D57" i="4"/>
  <c r="M20" i="2" l="1"/>
  <c r="E16" i="2"/>
  <c r="E17" i="3"/>
  <c r="A12" i="2"/>
  <c r="E13" i="2"/>
  <c r="E11" i="3"/>
  <c r="A11" i="3" s="1"/>
  <c r="F12" i="2"/>
  <c r="D64" i="4"/>
  <c r="F131" i="6"/>
  <c r="G88" i="3"/>
  <c r="G92" i="3" s="1"/>
  <c r="D32" i="4" s="1"/>
  <c r="C32" i="8" s="1"/>
  <c r="E32" i="8" s="1"/>
  <c r="H88" i="3"/>
  <c r="H92" i="3" s="1"/>
  <c r="D65" i="4"/>
  <c r="F132" i="6"/>
  <c r="A21" i="15"/>
  <c r="E22" i="15" s="1"/>
  <c r="D60" i="4"/>
  <c r="E12" i="3" l="1"/>
  <c r="A12" i="3" s="1"/>
  <c r="A13" i="2"/>
  <c r="A14" i="2" s="1"/>
  <c r="E32" i="4"/>
  <c r="G32" i="8"/>
  <c r="I32" i="8" s="1"/>
  <c r="F11" i="3"/>
  <c r="E15" i="3"/>
  <c r="F16" i="2"/>
  <c r="F15" i="3" s="1"/>
  <c r="F18" i="3" s="1"/>
  <c r="B59" i="10"/>
  <c r="B61" i="10" s="1"/>
  <c r="A22" i="15"/>
  <c r="I18" i="3" l="1"/>
  <c r="F82" i="3"/>
  <c r="F19" i="2"/>
  <c r="A13" i="3"/>
  <c r="A15" i="2"/>
  <c r="A25" i="15"/>
  <c r="A22" i="11"/>
  <c r="A23" i="11" s="1"/>
  <c r="I19" i="2" l="1"/>
  <c r="F85" i="2"/>
  <c r="F130" i="6"/>
  <c r="F133" i="6" s="1"/>
  <c r="F88" i="3"/>
  <c r="F92" i="3" s="1"/>
  <c r="D63" i="4"/>
  <c r="D66" i="4" s="1"/>
  <c r="A16" i="2"/>
  <c r="A14" i="3"/>
  <c r="A26" i="15"/>
  <c r="A27" i="15" s="1"/>
  <c r="A28" i="15" s="1"/>
  <c r="A29" i="15" s="1"/>
  <c r="A36" i="11"/>
  <c r="A38" i="11" s="1"/>
  <c r="A41" i="11" s="1"/>
  <c r="A44" i="11" s="1"/>
  <c r="A15" i="3" l="1"/>
  <c r="A16" i="3" s="1"/>
  <c r="A17" i="3" s="1"/>
  <c r="A18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5" i="3" s="1"/>
  <c r="A36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3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17" i="2"/>
  <c r="A18" i="2" s="1"/>
  <c r="A19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7" i="2" s="1"/>
  <c r="A38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6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5" i="2" s="1"/>
  <c r="E29" i="15"/>
  <c r="A31" i="15"/>
  <c r="A34" i="15" s="1"/>
  <c r="A35" i="15" s="1"/>
  <c r="A36" i="15" s="1"/>
  <c r="A37" i="15" s="1"/>
  <c r="A38" i="15" s="1"/>
  <c r="A40" i="15" s="1"/>
  <c r="E31" i="15"/>
  <c r="E82" i="3" l="1"/>
  <c r="E88" i="3" s="1"/>
  <c r="A82" i="3" l="1"/>
  <c r="A84" i="3" s="1"/>
  <c r="A85" i="3" s="1"/>
  <c r="A86" i="3" s="1"/>
  <c r="A88" i="3" s="1"/>
  <c r="A90" i="3" s="1"/>
  <c r="E92" i="3"/>
  <c r="C62" i="4"/>
  <c r="E128" i="6"/>
  <c r="A92" i="3" l="1"/>
  <c r="C32" i="4"/>
  <c r="G131" i="6"/>
  <c r="I104" i="6" s="1"/>
  <c r="I115" i="6" s="1"/>
  <c r="I117" i="6" s="1"/>
  <c r="G130" i="6"/>
  <c r="G132" i="6"/>
  <c r="J104" i="6" s="1"/>
  <c r="J115" i="6" s="1"/>
  <c r="J117" i="6" s="1"/>
  <c r="E64" i="4"/>
  <c r="D13" i="4" s="1"/>
  <c r="E65" i="4"/>
  <c r="E13" i="4" s="1"/>
  <c r="E63" i="4"/>
  <c r="E66" i="4" l="1"/>
  <c r="G133" i="6"/>
  <c r="H104" i="6"/>
  <c r="H115" i="6" s="1"/>
  <c r="H117" i="6" s="1"/>
  <c r="E15" i="4"/>
  <c r="G13" i="8"/>
  <c r="C13" i="8"/>
  <c r="D15" i="4"/>
  <c r="A13" i="4"/>
  <c r="G15" i="8" l="1"/>
  <c r="I13" i="8"/>
  <c r="I15" i="8" s="1"/>
  <c r="A15" i="4"/>
  <c r="A18" i="4" s="1"/>
  <c r="C15" i="8"/>
  <c r="E13" i="8"/>
  <c r="E15" i="8" s="1"/>
  <c r="B28" i="10" l="1"/>
  <c r="B30" i="10" s="1"/>
  <c r="C19" i="4" l="1"/>
  <c r="C46" i="4" s="1"/>
  <c r="E82" i="1"/>
  <c r="G83" i="1" l="1"/>
  <c r="J82" i="1"/>
  <c r="F83" i="1"/>
  <c r="A82" i="1"/>
  <c r="C56" i="4"/>
  <c r="D19" i="4"/>
  <c r="E19" i="4"/>
  <c r="H83" i="1"/>
  <c r="C23" i="4"/>
  <c r="C41" i="4" s="1"/>
  <c r="E23" i="4" l="1"/>
  <c r="E41" i="4" s="1"/>
  <c r="G19" i="8"/>
  <c r="A19" i="4"/>
  <c r="C19" i="8"/>
  <c r="D23" i="4"/>
  <c r="E57" i="4"/>
  <c r="E59" i="4"/>
  <c r="E58" i="4"/>
  <c r="D27" i="5" l="1"/>
  <c r="D29" i="5" s="1"/>
  <c r="D25" i="21"/>
  <c r="D31" i="22"/>
  <c r="D41" i="4"/>
  <c r="A20" i="4"/>
  <c r="E60" i="4"/>
  <c r="C23" i="8"/>
  <c r="E19" i="8"/>
  <c r="E23" i="8" s="1"/>
  <c r="E49" i="8" s="1"/>
  <c r="I19" i="8"/>
  <c r="I23" i="8" s="1"/>
  <c r="I49" i="8" s="1"/>
  <c r="G23" i="8"/>
  <c r="G49" i="8" s="1"/>
  <c r="D33" i="22" l="1"/>
  <c r="D11" i="5"/>
  <c r="D11" i="22"/>
  <c r="D11" i="21"/>
  <c r="D27" i="21"/>
  <c r="D33" i="21" s="1"/>
  <c r="B41" i="10"/>
  <c r="B43" i="10" s="1"/>
  <c r="B83" i="10" s="1"/>
  <c r="C49" i="8"/>
  <c r="B17" i="10" s="1"/>
  <c r="B19" i="10" s="1"/>
  <c r="B21" i="10" s="1"/>
  <c r="A21" i="4"/>
  <c r="A23" i="4" s="1"/>
  <c r="D35" i="5"/>
  <c r="E35" i="5" s="1"/>
  <c r="E33" i="21" l="1"/>
  <c r="D39" i="22"/>
  <c r="D35" i="21"/>
  <c r="D34" i="21"/>
  <c r="D13" i="21"/>
  <c r="D19" i="21" s="1"/>
  <c r="A11" i="21"/>
  <c r="A11" i="22"/>
  <c r="D13" i="22"/>
  <c r="A26" i="4"/>
  <c r="A27" i="4" s="1"/>
  <c r="A28" i="4" s="1"/>
  <c r="A11" i="5"/>
  <c r="D13" i="5"/>
  <c r="D36" i="5"/>
  <c r="E36" i="5" s="1"/>
  <c r="D37" i="5"/>
  <c r="E37" i="5" s="1"/>
  <c r="D39" i="5"/>
  <c r="E39" i="5" s="1"/>
  <c r="E34" i="21" l="1"/>
  <c r="E19" i="21"/>
  <c r="E35" i="21"/>
  <c r="D21" i="21"/>
  <c r="D20" i="21"/>
  <c r="A12" i="21"/>
  <c r="F13" i="21" s="1"/>
  <c r="A12" i="22"/>
  <c r="F13" i="22" s="1"/>
  <c r="D19" i="22"/>
  <c r="E39" i="22"/>
  <c r="D43" i="22"/>
  <c r="D42" i="22"/>
  <c r="D19" i="5"/>
  <c r="B94" i="10"/>
  <c r="B95" i="10"/>
  <c r="A12" i="5"/>
  <c r="A13" i="5" s="1"/>
  <c r="A30" i="4"/>
  <c r="A32" i="4" s="1"/>
  <c r="A35" i="4" s="1"/>
  <c r="D38" i="5"/>
  <c r="E38" i="5" s="1"/>
  <c r="A13" i="22" l="1"/>
  <c r="E21" i="21"/>
  <c r="A16" i="22"/>
  <c r="A19" i="22" s="1"/>
  <c r="F23" i="22" s="1"/>
  <c r="E42" i="22"/>
  <c r="D46" i="22"/>
  <c r="A13" i="21"/>
  <c r="E43" i="22"/>
  <c r="D47" i="22"/>
  <c r="E47" i="22" s="1"/>
  <c r="E19" i="22"/>
  <c r="D22" i="22"/>
  <c r="D23" i="22"/>
  <c r="E20" i="21"/>
  <c r="F13" i="5"/>
  <c r="A36" i="4"/>
  <c r="A37" i="4" s="1"/>
  <c r="A39" i="4" s="1"/>
  <c r="B96" i="10"/>
  <c r="D21" i="5"/>
  <c r="E19" i="5"/>
  <c r="D20" i="5"/>
  <c r="D23" i="5"/>
  <c r="A16" i="5"/>
  <c r="F19" i="5" s="1"/>
  <c r="F22" i="22" l="1"/>
  <c r="F19" i="22"/>
  <c r="A16" i="21"/>
  <c r="E23" i="22"/>
  <c r="D27" i="22"/>
  <c r="E27" i="22" s="1"/>
  <c r="A23" i="22"/>
  <c r="F27" i="22" s="1"/>
  <c r="E22" i="22"/>
  <c r="D26" i="22"/>
  <c r="A22" i="22"/>
  <c r="E46" i="22"/>
  <c r="E23" i="5"/>
  <c r="C73" i="17"/>
  <c r="E20" i="5"/>
  <c r="A41" i="4"/>
  <c r="A19" i="5"/>
  <c r="A20" i="5" s="1"/>
  <c r="A21" i="5" s="1"/>
  <c r="E21" i="5"/>
  <c r="D22" i="5"/>
  <c r="A19" i="21" l="1"/>
  <c r="A20" i="21"/>
  <c r="F19" i="21"/>
  <c r="F20" i="21"/>
  <c r="F26" i="22"/>
  <c r="E26" i="22"/>
  <c r="A26" i="22"/>
  <c r="A27" i="22" s="1"/>
  <c r="F21" i="21"/>
  <c r="A22" i="5"/>
  <c r="E22" i="5"/>
  <c r="C74" i="17"/>
  <c r="C75" i="17" s="1"/>
  <c r="B13" i="10"/>
  <c r="B15" i="10" s="1"/>
  <c r="F20" i="5"/>
  <c r="F22" i="5"/>
  <c r="F23" i="5"/>
  <c r="F21" i="5"/>
  <c r="A21" i="21" l="1"/>
  <c r="A25" i="21" s="1"/>
  <c r="A31" i="22"/>
  <c r="A32" i="22" s="1"/>
  <c r="A23" i="5"/>
  <c r="F27" i="21" l="1"/>
  <c r="A26" i="21"/>
  <c r="A27" i="21" s="1"/>
  <c r="A30" i="21" s="1"/>
  <c r="A33" i="21" s="1"/>
  <c r="A34" i="21" s="1"/>
  <c r="A35" i="21" s="1"/>
  <c r="A33" i="22"/>
  <c r="A36" i="22" s="1"/>
  <c r="F39" i="22" s="1"/>
  <c r="F33" i="22"/>
  <c r="A27" i="5"/>
  <c r="A28" i="5" s="1"/>
  <c r="A29" i="5" s="1"/>
  <c r="F35" i="21" l="1"/>
  <c r="F34" i="21"/>
  <c r="F33" i="21"/>
  <c r="A39" i="22"/>
  <c r="A32" i="5"/>
  <c r="A35" i="5" s="1"/>
  <c r="F29" i="5"/>
  <c r="F43" i="22" l="1"/>
  <c r="F42" i="22"/>
  <c r="A42" i="22"/>
  <c r="A43" i="22" s="1"/>
  <c r="F47" i="22" s="1"/>
  <c r="F36" i="5"/>
  <c r="F37" i="5"/>
  <c r="F38" i="5"/>
  <c r="F39" i="5"/>
  <c r="A36" i="5"/>
  <c r="A37" i="5" s="1"/>
  <c r="A38" i="5" s="1"/>
  <c r="A39" i="5" s="1"/>
  <c r="F35" i="5"/>
  <c r="F46" i="22" l="1"/>
  <c r="A46" i="22"/>
  <c r="A47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tc={D7F428F8-7F3C-4EB3-8553-9C3B48A018C5}</author>
  </authors>
  <commentList>
    <comment ref="C17" authorId="0" shapeId="0" xr:uid="{D7F428F8-7F3C-4EB3-8553-9C3B48A018C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5-yr average of Fiber Revenue, Interest and Other Income, and RPR repayment of loan to electric system</t>
      </text>
    </comment>
  </commentList>
</comments>
</file>

<file path=xl/sharedStrings.xml><?xml version="1.0" encoding="utf-8"?>
<sst xmlns="http://schemas.openxmlformats.org/spreadsheetml/2006/main" count="1364" uniqueCount="708">
  <si>
    <t>Line No.</t>
  </si>
  <si>
    <t>Adjustments Made to the Transmission Cost of Service Study (COSS) from the August 12, 2019 COSS</t>
  </si>
  <si>
    <t>Amounts</t>
  </si>
  <si>
    <t>$</t>
  </si>
  <si>
    <t>Plant in Service Adjustments</t>
  </si>
  <si>
    <t>1)  Adjustment to General Plant Account No. 397 - Communication Equip</t>
  </si>
  <si>
    <t>to remove plant balances associated with Wholesale Fiber</t>
  </si>
  <si>
    <t>Communication Equipment</t>
  </si>
  <si>
    <t>O&amp;M Allocation Factor Change caused by General Plant Adj.</t>
  </si>
  <si>
    <t>Transmission Return Impact</t>
  </si>
  <si>
    <t>Transmision Depreciation Impact</t>
  </si>
  <si>
    <t>Total Cost of Service for this Adjustment</t>
  </si>
  <si>
    <t>2)  Adjustment to Account No. 353 to remove Transformers at PRP</t>
  </si>
  <si>
    <t>to be recovered in the Generation Function</t>
  </si>
  <si>
    <t>O&amp;M Allocation Factor Change caused by Transmission Plant Adj.</t>
  </si>
  <si>
    <t>3)  Adjustment to remove Radial Lines at PRP</t>
  </si>
  <si>
    <t>4)  Adjustment to remove "QC" and "PEC" Plant Balances</t>
  </si>
  <si>
    <t>included in Account No. 303 - Intangible Plant from Trans. COSS</t>
  </si>
  <si>
    <t>5)  Adjustment to reclassified certain plant from transmission to</t>
  </si>
  <si>
    <t>generation.  Account #s include 302, 303, 390, 391, and 398,</t>
  </si>
  <si>
    <t>previously these accounts were allocated to generation, transmission,</t>
  </si>
  <si>
    <t>distribution functions based on the direct labor allocation factors. It</t>
  </si>
  <si>
    <t>was determined that certain amounts were directly assignable to the</t>
  </si>
  <si>
    <t>generation functions.</t>
  </si>
  <si>
    <t>Taxes - Other Than Income Taxes</t>
  </si>
  <si>
    <t>Removed all Taxes - Other except Elect Revenue - Taxes Privilege</t>
  </si>
  <si>
    <t>and Elect Revenue - Taxes Fire District.  All other taxes have been</t>
  </si>
  <si>
    <t>removed from the Transmission Cost per Unit Calculation.</t>
  </si>
  <si>
    <t>Amount of this adjustment is:</t>
  </si>
  <si>
    <t>Operation and Maintenance Expenses</t>
  </si>
  <si>
    <t>Transmission COSS adjustment for diving costs - transmission only</t>
  </si>
  <si>
    <t>($482,278 * 14.80%)</t>
  </si>
  <si>
    <t>Total Transmission Cost of Service Reduction from August 12, 2019</t>
  </si>
  <si>
    <t>Total Transmission Cost per Unit Reduction from 8/12/20 COSS  $/kW-mo.</t>
  </si>
  <si>
    <t>($3.81-$2.56)</t>
  </si>
  <si>
    <t>The remaining two Taxes - Other Than Income were converted to a</t>
  </si>
  <si>
    <t>rate add-on, similar to the 2017 COSA.</t>
  </si>
  <si>
    <t>2017 COSA</t>
  </si>
  <si>
    <t>Transmission Rate Before Tax Gross-up        $/kW-mo.</t>
  </si>
  <si>
    <t>Public Utilities Tax Gross-up                              $/kW-mo.</t>
  </si>
  <si>
    <t>2017 COSA Wholesale Transmission Rate    $/kW-mo.</t>
  </si>
  <si>
    <t>2019 COSS</t>
  </si>
  <si>
    <t>Grant County Public Utility District</t>
  </si>
  <si>
    <t>Development of the Transmission Cost per Unit</t>
  </si>
  <si>
    <t>Wholesale Cost of Service</t>
  </si>
  <si>
    <t>Line</t>
  </si>
  <si>
    <t>Amounts after</t>
  </si>
  <si>
    <t>No.</t>
  </si>
  <si>
    <t>Description</t>
  </si>
  <si>
    <t>Units</t>
  </si>
  <si>
    <t>Tax Gross-up</t>
  </si>
  <si>
    <t>Source / Comment</t>
  </si>
  <si>
    <t>(a)</t>
  </si>
  <si>
    <t>(b)</t>
  </si>
  <si>
    <t>(c)</t>
  </si>
  <si>
    <t>(d)</t>
  </si>
  <si>
    <t>(e)</t>
  </si>
  <si>
    <t>115kV - 230kV WHOLESALE COST OF SERVICE</t>
  </si>
  <si>
    <t>Annual Cost of Service:</t>
  </si>
  <si>
    <t>Net Transmission Cost of Service</t>
  </si>
  <si>
    <t>($)</t>
  </si>
  <si>
    <t>Cost of Service-Exh. II tab</t>
  </si>
  <si>
    <t>Transmission Plant Inclusion Ratio</t>
  </si>
  <si>
    <t>Net 115kV-230kV Wholesale Cost of Service</t>
  </si>
  <si>
    <t>Load Divisor:</t>
  </si>
  <si>
    <t>Total System Load Plus Firm Point to Point</t>
  </si>
  <si>
    <t>MW</t>
  </si>
  <si>
    <t>System Load-Exh. XII tab</t>
  </si>
  <si>
    <t>115kV - 230kV Wholesale Cost of Service:    1/</t>
  </si>
  <si>
    <t>Yearly</t>
  </si>
  <si>
    <t>$/kW-yr</t>
  </si>
  <si>
    <t xml:space="preserve">Monthly </t>
  </si>
  <si>
    <t>$/kW-mo.</t>
  </si>
  <si>
    <t>Weekly</t>
  </si>
  <si>
    <t>$/kW-wk.</t>
  </si>
  <si>
    <t>Daily</t>
  </si>
  <si>
    <t>$/kW-day</t>
  </si>
  <si>
    <t>Hourly</t>
  </si>
  <si>
    <t>$/kWh</t>
  </si>
  <si>
    <t>13.2kV WHOLESALE COST OF SERVICE</t>
  </si>
  <si>
    <t>Total Distribution Cost of Service</t>
  </si>
  <si>
    <t>Distribution Plant Inclusion Ratio</t>
  </si>
  <si>
    <t>Allocation Factors-Exh. III tab</t>
  </si>
  <si>
    <t>13.2kV Wholesale Cost of Service</t>
  </si>
  <si>
    <t>13.2kV System Load</t>
  </si>
  <si>
    <t>13.2kV Wholesale Cost of Service                 1/</t>
  </si>
  <si>
    <t xml:space="preserve">   </t>
  </si>
  <si>
    <t>1/</t>
  </si>
  <si>
    <t>Taxes-Other Than Income Taxes are calculated as a percentage of revenue collected</t>
  </si>
  <si>
    <t>for the 2019 COSS.  The taxes include the Public Utility Tax and the Fire Protection</t>
  </si>
  <si>
    <t>District Tax.  For study purposes these taxes are stated as a percentage and have been</t>
  </si>
  <si>
    <t>added to the calculated Cost of Service Factors to determine the total Factor.</t>
  </si>
  <si>
    <t>The total tax gross factor is 3.984%, see Taxes-Other-Exh. IX tab.</t>
  </si>
  <si>
    <t>Development of the Transmission Point-to-Point Cost per Unit</t>
  </si>
  <si>
    <t>Total Billing Units Including Firm Point-to-Point</t>
  </si>
  <si>
    <t>Monthly</t>
  </si>
  <si>
    <t>$/kW-Wk</t>
  </si>
  <si>
    <t>Daily Rates:</t>
  </si>
  <si>
    <t>On-Peak Days</t>
  </si>
  <si>
    <t>Off-Peak Days</t>
  </si>
  <si>
    <t>Hourly Rates:</t>
  </si>
  <si>
    <t>On-Peak Hours</t>
  </si>
  <si>
    <t>Off-Peak Hours</t>
  </si>
  <si>
    <t>Development of Transmission Cost of Service</t>
  </si>
  <si>
    <t>Transmission/Wholesale</t>
  </si>
  <si>
    <t xml:space="preserve">Total Cost </t>
  </si>
  <si>
    <t>Transmission</t>
  </si>
  <si>
    <t>Distribution</t>
  </si>
  <si>
    <t>of Service</t>
  </si>
  <si>
    <t>Cost of Service</t>
  </si>
  <si>
    <t>(1)</t>
  </si>
  <si>
    <t>Operation and Maintenance Expense</t>
  </si>
  <si>
    <t xml:space="preserve">  Transmission (net of Acct. 565)</t>
  </si>
  <si>
    <t xml:space="preserve">  Distribution</t>
  </si>
  <si>
    <t xml:space="preserve">  Administrative and General (net of Acct. 924)            2/</t>
  </si>
  <si>
    <t xml:space="preserve">  Administrative and General (Acct. 924)                        4/</t>
  </si>
  <si>
    <t>Total Operational and Maintenance Expense</t>
  </si>
  <si>
    <t>Depreciation Expense</t>
  </si>
  <si>
    <t xml:space="preserve">  Transmission                                                                      1/</t>
  </si>
  <si>
    <t>Original Intangible Plant Allocation Factor</t>
  </si>
  <si>
    <t xml:space="preserve">  General                                                                          1/  2/</t>
  </si>
  <si>
    <t xml:space="preserve">  Intangible</t>
  </si>
  <si>
    <t>Intangible Amortization</t>
  </si>
  <si>
    <t>Intangible Plant</t>
  </si>
  <si>
    <t>Total Depreciation</t>
  </si>
  <si>
    <t>Percentage</t>
  </si>
  <si>
    <t>Taxes - Other Than Income</t>
  </si>
  <si>
    <t xml:space="preserve">  Plant Related</t>
  </si>
  <si>
    <t xml:space="preserve">  Labor Related</t>
  </si>
  <si>
    <t xml:space="preserve">  Other Related</t>
  </si>
  <si>
    <t>Total Taxes-Other Than Income</t>
  </si>
  <si>
    <t>Return</t>
  </si>
  <si>
    <t>Revenue Credits</t>
  </si>
  <si>
    <t>Production</t>
  </si>
  <si>
    <t>Total Revenue Credits</t>
  </si>
  <si>
    <t>Total Cost of Service</t>
  </si>
  <si>
    <t>General</t>
  </si>
  <si>
    <t>1/  Total Depreciation Expense Before Adjs.</t>
  </si>
  <si>
    <t xml:space="preserve">      Amount After Adjustments</t>
  </si>
  <si>
    <t xml:space="preserve">              2/</t>
  </si>
  <si>
    <t>WAGES &amp; SALARY ALLOCATOR (W&amp;S) - See Allocation Factor-Exh. III tab, Lines 15-20.</t>
  </si>
  <si>
    <t>($ / Allocation)</t>
  </si>
  <si>
    <t>Production - Allocation Factors-Exh. III, Ln 15</t>
  </si>
  <si>
    <t>Transmission - Allocation Factor-Exh. III, Ln 16</t>
  </si>
  <si>
    <t>(WST)</t>
  </si>
  <si>
    <t>Distribution - Allocation Factor-Exh. III, Ln 17</t>
  </si>
  <si>
    <t>(WSD)</t>
  </si>
  <si>
    <t>Other - Non General - Allocation Factor-Exh. III, Ln 18</t>
  </si>
  <si>
    <t>(Hydro-Product</t>
  </si>
  <si>
    <t>Total</t>
  </si>
  <si>
    <t>+ Other)</t>
  </si>
  <si>
    <t>See Allocation Factors-Exh. III Tab.</t>
  </si>
  <si>
    <t xml:space="preserve">              3/</t>
  </si>
  <si>
    <t>Gross Plant In Service (GPIS)-Allocation Factor</t>
  </si>
  <si>
    <t xml:space="preserve">   Production - see GPIS-Exh. V, Col. E, LN. 71</t>
  </si>
  <si>
    <t xml:space="preserve">   Transmission - see GPIS-Exh. V, Col. F, LN. 71</t>
  </si>
  <si>
    <t xml:space="preserve">   Distribution - see GPIS-Exh. V, Col. G, LN. 71</t>
  </si>
  <si>
    <t xml:space="preserve">   Total</t>
  </si>
  <si>
    <t>See Gross Plant in Service-Exh. V Tab for plant balances</t>
  </si>
  <si>
    <t xml:space="preserve">               4/</t>
  </si>
  <si>
    <t>Net Plant In Service (NPIS) - NPIS and Rate Base-Exh. VII</t>
  </si>
  <si>
    <t xml:space="preserve">   Production - see NPIS and Rate Base-Exh.VII, Col. E, LN. 52</t>
  </si>
  <si>
    <t xml:space="preserve">   Transmission - see NPIS and Rate Base-Exh. VII, Col. F, LN. 52</t>
  </si>
  <si>
    <t xml:space="preserve">   Distribution - see NPIS and Rate Base-Exh. VII, Col. G, LN.52</t>
  </si>
  <si>
    <t xml:space="preserve">  Total</t>
  </si>
  <si>
    <t>See NPIS and Rate Base-Exh. VII Tab for plant balances</t>
  </si>
  <si>
    <t>Development of Allocation Factors</t>
  </si>
  <si>
    <t xml:space="preserve"> </t>
  </si>
  <si>
    <t>Allocator</t>
  </si>
  <si>
    <t>Source/Reference</t>
  </si>
  <si>
    <t>Electric</t>
  </si>
  <si>
    <t>Type</t>
  </si>
  <si>
    <t>%</t>
  </si>
  <si>
    <t>TRANSMISSION PLANT INCLUDED IN COST OF SERVICE:</t>
  </si>
  <si>
    <t>Total Transmission Gross Plant</t>
  </si>
  <si>
    <t>See Gross Plant in Service-Exh. V tab, Col. F, Ln 26</t>
  </si>
  <si>
    <t>Less Distribution Plant Included in Transmission Accounts</t>
  </si>
  <si>
    <t>Note A</t>
  </si>
  <si>
    <t>Less Transmission Plant Included in Ancillary Services</t>
  </si>
  <si>
    <t>Note B</t>
  </si>
  <si>
    <t xml:space="preserve">Transmission Plant Included in Cost of Service  </t>
  </si>
  <si>
    <t>Line 1 - Line 2 - Line 3</t>
  </si>
  <si>
    <t>TPI=</t>
  </si>
  <si>
    <t>WHOLESALE GROSS DISTRIBUTION PLANT:</t>
  </si>
  <si>
    <t>Accounts 360-364</t>
  </si>
  <si>
    <t>See Gross Plant in Service-Exh. V tab, Col. G, Lns 27-30</t>
  </si>
  <si>
    <t>Accounts 360-364 plus Accounts 368-373</t>
  </si>
  <si>
    <t>See Gross Plant in Service-Exh. V tab, Col. G, Lns 27-30 + Lns 34-37</t>
  </si>
  <si>
    <t>Wholesale Gross Distribution Plant Allocator</t>
  </si>
  <si>
    <t>WSDP=</t>
  </si>
  <si>
    <t>DISTRIBUTION PLANT INCLUDED IN COST OF SERVICE:</t>
  </si>
  <si>
    <t>Total Distribution Gross Plant</t>
  </si>
  <si>
    <t>See Gross Plant in Service-Exh. V tab, Col. G, Ln 38</t>
  </si>
  <si>
    <t>Plus Distributuion Plant Included in Transmission Accounts</t>
  </si>
  <si>
    <t>Less Distribution Plant Included in Ancillary Services</t>
  </si>
  <si>
    <t xml:space="preserve">Total Distribution Plant Included in Cost of Service  </t>
  </si>
  <si>
    <t>Percentage of Gross Distribution Plant Included in Cost of Service</t>
  </si>
  <si>
    <t>DP=</t>
  </si>
  <si>
    <t>DPI=</t>
  </si>
  <si>
    <t>WAGES &amp; SALARY ALLOCATOR (W&amp;S):</t>
  </si>
  <si>
    <t>T/D Allocation</t>
  </si>
  <si>
    <t>NA</t>
  </si>
  <si>
    <t>WST =</t>
  </si>
  <si>
    <t>WSD =</t>
  </si>
  <si>
    <t>Other - Non General</t>
  </si>
  <si>
    <t>Total Sum of Lines 15 - 18</t>
  </si>
  <si>
    <t>Hydro-Production and Other Allocation Factor - Line 15 + Line 18</t>
  </si>
  <si>
    <t>Notes</t>
  </si>
  <si>
    <t>A</t>
  </si>
  <si>
    <t>Removes transmission plant determined  to be state-jurisdictional by FERC order according to the seven-factor test (e.g., radial facilities), until</t>
  </si>
  <si>
    <t>balances on Grant PUD's books are adjusted to reflect the removal of such costs from the transmission function.</t>
  </si>
  <si>
    <t>B</t>
  </si>
  <si>
    <t>Removes dollar amount of plant included in the development of ancillary services cost of service analysis (e.g., generation step-up facilities)</t>
  </si>
  <si>
    <t>Operations &amp; Maintenance Expenses and Administrative &amp; General Expenses</t>
  </si>
  <si>
    <t>Transmission - Wholesale</t>
  </si>
  <si>
    <t>FERC</t>
  </si>
  <si>
    <t>Adjusted</t>
  </si>
  <si>
    <t>Hydro-</t>
  </si>
  <si>
    <t>No</t>
  </si>
  <si>
    <t>Acct No</t>
  </si>
  <si>
    <t>FERC Acct Name</t>
  </si>
  <si>
    <t>Expenses</t>
  </si>
  <si>
    <t>Adjustments</t>
  </si>
  <si>
    <t>Comments re: Adjustments</t>
  </si>
  <si>
    <t xml:space="preserve">(c) </t>
  </si>
  <si>
    <t xml:space="preserve">(e) </t>
  </si>
  <si>
    <t xml:space="preserve">(f) </t>
  </si>
  <si>
    <t xml:space="preserve">(g) </t>
  </si>
  <si>
    <t xml:space="preserve">(h) </t>
  </si>
  <si>
    <t>(f)</t>
  </si>
  <si>
    <t>Hydraulic Power Generation O&amp;M Expenses</t>
  </si>
  <si>
    <t xml:space="preserve"> Operation supervision and engineering</t>
  </si>
  <si>
    <t>Not Included in Wholesale Delivery Cost of Service</t>
  </si>
  <si>
    <t xml:space="preserve"> Water for power</t>
  </si>
  <si>
    <t xml:space="preserve"> Hydraulic O&amp;M Expensess (Major only)</t>
  </si>
  <si>
    <t xml:space="preserve"> Electric O&amp;M Expensess (Major only)</t>
  </si>
  <si>
    <t xml:space="preserve"> Miscellaneous hydraulic power generation O&amp;M Expensess (Major only)</t>
  </si>
  <si>
    <t xml:space="preserve"> Rents</t>
  </si>
  <si>
    <t xml:space="preserve"> Operation supplies and O&amp;M Expensess (Nonmajor only)</t>
  </si>
  <si>
    <t xml:space="preserve"> Maintenance supervision and engineering (Major only)</t>
  </si>
  <si>
    <t xml:space="preserve"> Maintenance of structures (Major only)</t>
  </si>
  <si>
    <t xml:space="preserve"> Maintenance of reservoirs, dams and waterways (Major only)</t>
  </si>
  <si>
    <t xml:space="preserve"> Maintenance of electric plant (Major only)</t>
  </si>
  <si>
    <t xml:space="preserve"> Maintenance of miscellaneous hydraulic plant (Major only)</t>
  </si>
  <si>
    <t xml:space="preserve"> Maintenance of hydraulic production plant (Nonmajor only)</t>
  </si>
  <si>
    <t>Adjustment for Diving Expenses included in Acct. 935</t>
  </si>
  <si>
    <t>Total Hydraulic Power Generation O&amp;M Expenses</t>
  </si>
  <si>
    <t>Transmission O&amp;M Expenses:</t>
  </si>
  <si>
    <t>Operation Supervision and Engineering</t>
  </si>
  <si>
    <t xml:space="preserve">Load Dispatching </t>
  </si>
  <si>
    <t xml:space="preserve">Station Expenses </t>
  </si>
  <si>
    <t xml:space="preserve">Overhead Lines Expenses </t>
  </si>
  <si>
    <t>Underground line expenses</t>
  </si>
  <si>
    <t>Transmission of Electricity by Others</t>
  </si>
  <si>
    <t xml:space="preserve">Miscellaneous Transmission Expenses </t>
  </si>
  <si>
    <t>Rents</t>
  </si>
  <si>
    <t>Maintenance supervision and engineering</t>
  </si>
  <si>
    <t>Maintenance of Stuctures/Computer</t>
  </si>
  <si>
    <t xml:space="preserve">Maintenance of Station Equipment </t>
  </si>
  <si>
    <t xml:space="preserve">Maintenance of Overhead Lines </t>
  </si>
  <si>
    <t xml:space="preserve">Maintenance of Underground Lines </t>
  </si>
  <si>
    <t>Maintenance of Miscellaneous Transmission Plant</t>
  </si>
  <si>
    <t>Maintenance of Transmision Plant (Non-Major)</t>
  </si>
  <si>
    <t>Total Transmission O&amp;M Expenses</t>
  </si>
  <si>
    <t>Distribution O&amp;M Expenses:</t>
  </si>
  <si>
    <t>Operation supervision and engineering</t>
  </si>
  <si>
    <t>Load dispatching</t>
  </si>
  <si>
    <t>Station expenses</t>
  </si>
  <si>
    <t>Overhead line expenses</t>
  </si>
  <si>
    <t>Meter expenses</t>
  </si>
  <si>
    <t>Customer installations expenses</t>
  </si>
  <si>
    <t>Miscellaneous distribution expenses</t>
  </si>
  <si>
    <t>Maintenance of station equipment</t>
  </si>
  <si>
    <t>Maintenance of overhead lines</t>
  </si>
  <si>
    <t>Maintenance of underground lines</t>
  </si>
  <si>
    <t>Maintenance of street lighting and signal systems</t>
  </si>
  <si>
    <t>Maintenance of meters</t>
  </si>
  <si>
    <t>Total Distribution O&amp;M Expenses</t>
  </si>
  <si>
    <t>Customer Accounts Expense</t>
  </si>
  <si>
    <t>Supervision (Major only)</t>
  </si>
  <si>
    <t>Meter reading expenses</t>
  </si>
  <si>
    <t>Customer records and collection expenses</t>
  </si>
  <si>
    <t>Uncollectible accounts</t>
  </si>
  <si>
    <t>Miscellaneous customer accounts expenses (Major only)</t>
  </si>
  <si>
    <t>Total Customer Accounts Expense</t>
  </si>
  <si>
    <t>Customer Service and Information System Expense</t>
  </si>
  <si>
    <t>Customer service and informational expenses (Nonmajor only)</t>
  </si>
  <si>
    <t>Customer assistance expenses (Major only)</t>
  </si>
  <si>
    <t>Informational and instructional advertising expenses (Major only)</t>
  </si>
  <si>
    <t>Miscellaneous customer service and informational expenses (Major only)</t>
  </si>
  <si>
    <t>Total Customer Service and Information System Expense</t>
  </si>
  <si>
    <t>Licensing Compliance and Related Agreements</t>
  </si>
  <si>
    <t>539.R1</t>
  </si>
  <si>
    <t>Reclass from Acct. 539; Not Included in Wholesale Cost of Service Template</t>
  </si>
  <si>
    <t>545.R1</t>
  </si>
  <si>
    <t>Reclass from Acct. 545; Not Included in Wholesale Cost of Service Template</t>
  </si>
  <si>
    <t>928.R1</t>
  </si>
  <si>
    <t>Regulatory commission expenses</t>
  </si>
  <si>
    <t>Reclass Yakama Settlement Expense from Acct. 928; Not Included in Wholesale COS</t>
  </si>
  <si>
    <t>Total Licensing Compliance and Related Agreements</t>
  </si>
  <si>
    <t>Fiber Optic Network O&amp;M</t>
  </si>
  <si>
    <t>935.R1</t>
  </si>
  <si>
    <t>Maintenance of general plant</t>
  </si>
  <si>
    <t>Reclass from Acct. 935; Not Included in Wholesale Cost of Service Template</t>
  </si>
  <si>
    <t>930.2R1</t>
  </si>
  <si>
    <t>Reclass from Acct 930.2; Not Included in Wholesale Cost of Service Template</t>
  </si>
  <si>
    <t>Total Sales Expense</t>
  </si>
  <si>
    <t>Administrative &amp; General Expenses</t>
  </si>
  <si>
    <t>Administrative and general salaries</t>
  </si>
  <si>
    <t>2/</t>
  </si>
  <si>
    <t>Office supplies and expenses</t>
  </si>
  <si>
    <t>Administrative expenses transferred—Credit</t>
  </si>
  <si>
    <t>Outside services employed</t>
  </si>
  <si>
    <t>Property insurance-Allocated on Net Plant in Service</t>
  </si>
  <si>
    <t>3/</t>
  </si>
  <si>
    <t>Injuries and damages</t>
  </si>
  <si>
    <t>Employee pensions and benefits</t>
  </si>
  <si>
    <t>Franchise requirements</t>
  </si>
  <si>
    <t>Reclass Yakama Settlement Exp to Licensing and Agreements</t>
  </si>
  <si>
    <t>Duplicate charges—Credit</t>
  </si>
  <si>
    <t>General advertising expenses</t>
  </si>
  <si>
    <t>Exclude General Advertising</t>
  </si>
  <si>
    <t>Miscellaneous general expenses</t>
  </si>
  <si>
    <t>Fiber Optic Expense Included in Acct 930</t>
  </si>
  <si>
    <t>Transportation expenses (Nonmajor only)</t>
  </si>
  <si>
    <t>Remove Fiber Optic Expense and Diving Expenses included in Acct. 935</t>
  </si>
  <si>
    <t>Total A&amp;G Expenses</t>
  </si>
  <si>
    <t>Total Operation &amp; Maintenance Expenses</t>
  </si>
  <si>
    <t>Adjustments to be identified in column (f)</t>
  </si>
  <si>
    <t>Transmission  --  WST</t>
  </si>
  <si>
    <t>Distribution  --  WSD</t>
  </si>
  <si>
    <t>Gross Plant In Service</t>
  </si>
  <si>
    <t>Account</t>
  </si>
  <si>
    <t>Total Plant</t>
  </si>
  <si>
    <t>Hydro -</t>
  </si>
  <si>
    <t>Number</t>
  </si>
  <si>
    <t>In Service</t>
  </si>
  <si>
    <t>(2)</t>
  </si>
  <si>
    <t>(3)</t>
  </si>
  <si>
    <t>(4)</t>
  </si>
  <si>
    <t>Organization</t>
  </si>
  <si>
    <t>Franchises and consents</t>
  </si>
  <si>
    <t>Assignable Directly to Generation</t>
  </si>
  <si>
    <t>Net 302 Allocated to all functions</t>
  </si>
  <si>
    <t>Miscellaneous intangible plant</t>
  </si>
  <si>
    <t>Adjustment for OC&amp;PEC Plant to Hydro</t>
  </si>
  <si>
    <t>Adjustment for Hatchery Intangible Plant</t>
  </si>
  <si>
    <t>FERC Relicensing Costs</t>
  </si>
  <si>
    <t>Net 303 Allocated to all functions</t>
  </si>
  <si>
    <t>Subtotal Intangible Plant</t>
  </si>
  <si>
    <t>Hydro Production</t>
  </si>
  <si>
    <t>Land and Land Rights</t>
  </si>
  <si>
    <t>Structures and improvements</t>
  </si>
  <si>
    <t>Reservoirs, dams, and waterways</t>
  </si>
  <si>
    <t>Water sheels, turbines and generators</t>
  </si>
  <si>
    <t>Accessory electric equipment</t>
  </si>
  <si>
    <t>Miscellaneous power plant equipment</t>
  </si>
  <si>
    <t>Roads, railroads and bridges</t>
  </si>
  <si>
    <t>Adjustment for PRP Transformer Plant to Hydro</t>
  </si>
  <si>
    <t>Adjustment for PRP Radial Lines to Hydro</t>
  </si>
  <si>
    <t>Adj. to Remove Generation Function Plant</t>
  </si>
  <si>
    <t>Adj. to Office Furniture and Equipment</t>
  </si>
  <si>
    <t>Adj. to Misc. Equipment</t>
  </si>
  <si>
    <t>Subtotal Hydro Production Plant</t>
  </si>
  <si>
    <t>Other Production (Wind)</t>
  </si>
  <si>
    <t>Subtotal Production Plant</t>
  </si>
  <si>
    <t>Transmission Plant</t>
  </si>
  <si>
    <t>Station Equipment</t>
  </si>
  <si>
    <t>Towers and fixtures</t>
  </si>
  <si>
    <t>Poles and fixtures</t>
  </si>
  <si>
    <t>Overhead conductors and devices</t>
  </si>
  <si>
    <t>Roads and trails</t>
  </si>
  <si>
    <t>Subtotal Transmission Plant</t>
  </si>
  <si>
    <t>Distribution Plant</t>
  </si>
  <si>
    <t>Station equipment</t>
  </si>
  <si>
    <t>Poles, towers and fixtures</t>
  </si>
  <si>
    <t>Underground conduit</t>
  </si>
  <si>
    <t>Underground conductors and devices</t>
  </si>
  <si>
    <t>Line Transformers</t>
  </si>
  <si>
    <t>Services</t>
  </si>
  <si>
    <t>Meters</t>
  </si>
  <si>
    <t>Street lighting and signal systems</t>
  </si>
  <si>
    <t>Subtotal Distribution Plant</t>
  </si>
  <si>
    <t>General Plant</t>
  </si>
  <si>
    <t>Office furniture and equipment</t>
  </si>
  <si>
    <t>Transportation equipment</t>
  </si>
  <si>
    <t>Stores equipment</t>
  </si>
  <si>
    <t>Tools, shop and garage equipment</t>
  </si>
  <si>
    <t>Laboratory equipment</t>
  </si>
  <si>
    <t>Power operatied equipment</t>
  </si>
  <si>
    <t>Communication equipment</t>
  </si>
  <si>
    <t>Miscellanious equipment</t>
  </si>
  <si>
    <t>Adj. to Remove Fiber Plant Costs</t>
  </si>
  <si>
    <t>Subtotal General Plant</t>
  </si>
  <si>
    <t>Intangible</t>
  </si>
  <si>
    <t>2/  Total Gross Plant before Adjustments</t>
  </si>
  <si>
    <t>Accumulated Reserves for Depreciation</t>
  </si>
  <si>
    <t>GPIS</t>
  </si>
  <si>
    <t>302 Generation</t>
  </si>
  <si>
    <t>Accumulated</t>
  </si>
  <si>
    <t>Reserves</t>
  </si>
  <si>
    <t>302 Transmission</t>
  </si>
  <si>
    <t>302 Distribution</t>
  </si>
  <si>
    <t>Total GPIS</t>
  </si>
  <si>
    <t>Intangible Acc. Reserves</t>
  </si>
  <si>
    <t>303 Generation</t>
  </si>
  <si>
    <t>303 Transmission</t>
  </si>
  <si>
    <t>303 Distribution</t>
  </si>
  <si>
    <t>Subtotal Intangible Acc. Reserves</t>
  </si>
  <si>
    <t>Subtotal Hydro Production Acc. Reserves</t>
  </si>
  <si>
    <t>Subtotal Production Acc. Reserves</t>
  </si>
  <si>
    <t>Transmission Acc. Reserves</t>
  </si>
  <si>
    <t>Subtotal Transmission Acc. Reserves</t>
  </si>
  <si>
    <t>Distribution Acc. Reserves</t>
  </si>
  <si>
    <t>Poles, towers and fixturs</t>
  </si>
  <si>
    <t>Subtotal Distribution Acc. Reserves</t>
  </si>
  <si>
    <t>General Reserves</t>
  </si>
  <si>
    <t>Subtotal General Acc. Reserves</t>
  </si>
  <si>
    <t>Total Accumulated Reserves</t>
  </si>
  <si>
    <t>Net Plant In Service</t>
  </si>
  <si>
    <t>Net Plant</t>
  </si>
  <si>
    <t>Intangible Net Plant In Service</t>
  </si>
  <si>
    <t>Adjustment for OC &amp; PEC Plant to Hydro</t>
  </si>
  <si>
    <t>Subtotal Intangible Net Plant In Service</t>
  </si>
  <si>
    <t>Subtotal Hydro Production Net Plant In Service</t>
  </si>
  <si>
    <t>Subtotal Production Net Plant In Service</t>
  </si>
  <si>
    <t>Transmission Net Plant In Service</t>
  </si>
  <si>
    <t>Subtotal Transmission Net Plant In Service</t>
  </si>
  <si>
    <t>Distribution Net Plant In Service</t>
  </si>
  <si>
    <t>Subtotal Distribution Net Plant In Service</t>
  </si>
  <si>
    <t>General Net Plant In Service</t>
  </si>
  <si>
    <t>Power operated equipment</t>
  </si>
  <si>
    <t>Subtotal General Net Plant In Service</t>
  </si>
  <si>
    <t>Total Net Plant In Service</t>
  </si>
  <si>
    <t>Materials &amp; Supplies - See M&amp;S Prepayments-Exh.VIII</t>
  </si>
  <si>
    <t>Prepayments - See M&amp;S Prepayments-Exh. VIII</t>
  </si>
  <si>
    <t>Cash Working Capital</t>
  </si>
  <si>
    <t>Net Rate Base</t>
  </si>
  <si>
    <t>Rate Of Return</t>
  </si>
  <si>
    <t>Materials and Supplies and Prepayments</t>
  </si>
  <si>
    <t xml:space="preserve">                       </t>
  </si>
  <si>
    <t>WAGES &amp; SALARY ALLOCATOR (W&amp;S) See</t>
  </si>
  <si>
    <t>Wages and Salaries Allocator</t>
  </si>
  <si>
    <t>Allocation Factor-Exh. III tab, Lines 15-20.</t>
  </si>
  <si>
    <t>Acct No.</t>
  </si>
  <si>
    <t>(g)</t>
  </si>
  <si>
    <t>(h)</t>
  </si>
  <si>
    <t>(i)</t>
  </si>
  <si>
    <t>(j)</t>
  </si>
  <si>
    <t>(k)</t>
  </si>
  <si>
    <t>(l)</t>
  </si>
  <si>
    <t>(e)*(f)</t>
  </si>
  <si>
    <t>(e)*(g)</t>
  </si>
  <si>
    <t>(e)*(h)</t>
  </si>
  <si>
    <t>(i)+(j)+(k)</t>
  </si>
  <si>
    <t>Materials and Supplies:</t>
  </si>
  <si>
    <t>Plant Materials and Operating Supplies</t>
  </si>
  <si>
    <t>Stores Expense Undistributed</t>
  </si>
  <si>
    <t>Total Materials and Supplies</t>
  </si>
  <si>
    <t>Prepayments</t>
  </si>
  <si>
    <t>Total Prepayments</t>
  </si>
  <si>
    <t xml:space="preserve">                                   </t>
  </si>
  <si>
    <t>Taxes Other Than Income Taxes</t>
  </si>
  <si>
    <t>December</t>
  </si>
  <si>
    <t xml:space="preserve">Description </t>
  </si>
  <si>
    <t>Account #s</t>
  </si>
  <si>
    <t>2018</t>
  </si>
  <si>
    <t>Per Books for 2018</t>
  </si>
  <si>
    <t>Elect Revenue-Taxes Fiber</t>
  </si>
  <si>
    <t>1001-408050</t>
  </si>
  <si>
    <t>Elect Revenue-Taxes Utility</t>
  </si>
  <si>
    <t>1001-408100</t>
  </si>
  <si>
    <t>Elect Revenue-Taxes Privilege</t>
  </si>
  <si>
    <t>1001-408200</t>
  </si>
  <si>
    <t>Elect Revenue-Taxes City</t>
  </si>
  <si>
    <t>1001-408400</t>
  </si>
  <si>
    <t>Elect Revenue-Taxes Fire District</t>
  </si>
  <si>
    <t>1001-408501</t>
  </si>
  <si>
    <t>Elect Revenue-Taxes Privilege QC</t>
  </si>
  <si>
    <t>1001-408510</t>
  </si>
  <si>
    <t>Elect Revenue-Taxes Privilege PEC</t>
  </si>
  <si>
    <t>1001-408600</t>
  </si>
  <si>
    <t>PRP Revenue-Taxes Privilege</t>
  </si>
  <si>
    <t>7001-408200</t>
  </si>
  <si>
    <t>PRP Revenue-Taxes Water Utility</t>
  </si>
  <si>
    <t>7001-408210</t>
  </si>
  <si>
    <t>PRP Revenue-Taxes Wastewater Utility</t>
  </si>
  <si>
    <t>7001-408220</t>
  </si>
  <si>
    <t>Amounts included in the Cost of Service Factors in Cost of Service Factors-Exh. 1 tab</t>
  </si>
  <si>
    <t>The 2017 COSA determined that the only Taxes-Other Than Income related to</t>
  </si>
  <si>
    <t>Transmission services were Public Utility Tax.  In the 2019 COSS, this tax was used</t>
  </si>
  <si>
    <t>to calculate Taxes-Other, but also included was the Fire Protection District Tax.</t>
  </si>
  <si>
    <t>Both of these taxes are based on a percentage of revenue.  See the below</t>
  </si>
  <si>
    <t>calculation:</t>
  </si>
  <si>
    <t>Tax Percentage</t>
  </si>
  <si>
    <t>Based on Amount</t>
  </si>
  <si>
    <t>Based on</t>
  </si>
  <si>
    <t>of Public Utility</t>
  </si>
  <si>
    <t>Revenue</t>
  </si>
  <si>
    <t>Tax Paid</t>
  </si>
  <si>
    <t>Taxes Attributable to Transmission Services</t>
  </si>
  <si>
    <r>
      <rPr>
        <i/>
        <u/>
        <sz val="14"/>
        <color theme="1"/>
        <rFont val="Calibri"/>
        <family val="2"/>
        <scheme val="minor"/>
      </rPr>
      <t>Elect Revenue-Taxes Privilege</t>
    </r>
    <r>
      <rPr>
        <sz val="14"/>
        <color theme="1"/>
        <rFont val="Calibri"/>
        <family val="2"/>
        <scheme val="minor"/>
      </rPr>
      <t>-the formula is:</t>
    </r>
  </si>
  <si>
    <t>(Total retail revenue +Other Retail Rev+ Other Power Service revenue + 28% of CIAC - total PEC &amp; QC costs  -  .154% of retail revenue ) X  .03873 = Total Tax</t>
  </si>
  <si>
    <r>
      <rPr>
        <i/>
        <u/>
        <sz val="14"/>
        <color theme="1"/>
        <rFont val="Calibri"/>
        <family val="2"/>
        <scheme val="minor"/>
      </rPr>
      <t>Elect Revenue-Taxes Fire District</t>
    </r>
    <r>
      <rPr>
        <sz val="14"/>
        <color theme="1"/>
        <rFont val="Calibri"/>
        <family val="2"/>
        <scheme val="minor"/>
      </rPr>
      <t>-the formula is:</t>
    </r>
  </si>
  <si>
    <t>Amount established by the state based on amount of public utility tax paid by the utility. PUT X .028545832</t>
  </si>
  <si>
    <t>Total Percentage Assessed to</t>
  </si>
  <si>
    <t>Transmission Cost of Service</t>
  </si>
  <si>
    <t>This percentage will be applied to the Per Unit</t>
  </si>
  <si>
    <t>Cost of Service factor developed in Cost of Service Factors-Exh. I tab</t>
  </si>
  <si>
    <t>Change in Net Position</t>
  </si>
  <si>
    <t>Capitalization</t>
  </si>
  <si>
    <t>Cost of</t>
  </si>
  <si>
    <t>Weighted Average</t>
  </si>
  <si>
    <t>Capital Component</t>
  </si>
  <si>
    <t>Ratio (Note A)</t>
  </si>
  <si>
    <t>Capital</t>
  </si>
  <si>
    <t>Cost of Capital</t>
  </si>
  <si>
    <t>Return/Capitalization Calculations:</t>
  </si>
  <si>
    <t>Long Term Debt</t>
  </si>
  <si>
    <t>(Note B)</t>
  </si>
  <si>
    <t>Proprietary Capital</t>
  </si>
  <si>
    <t>(Note C)</t>
  </si>
  <si>
    <t>Target capitalization ratio established by Grant County PUD.</t>
  </si>
  <si>
    <t>Average cost of Grant County PUD's outstanding long-term debt.</t>
  </si>
  <si>
    <t>C</t>
  </si>
  <si>
    <t>Cost of equity based on the Grant PUD Commission approved return on equity (ROE).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</si>
  <si>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</si>
  <si>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Allocation</t>
  </si>
  <si>
    <t>Plant</t>
  </si>
  <si>
    <t>Labor</t>
  </si>
  <si>
    <t>Other</t>
  </si>
  <si>
    <t>Comments re: Allocation</t>
  </si>
  <si>
    <t>Other Revenues:</t>
  </si>
  <si>
    <t>Forfeited Discounts</t>
  </si>
  <si>
    <t>Elect Revenue-Penalty For Late Payment</t>
  </si>
  <si>
    <t>Related to retail service.</t>
  </si>
  <si>
    <t>Miscellaneous Service Revenues</t>
  </si>
  <si>
    <t>Elect Revenue-Misc Service Revenue</t>
  </si>
  <si>
    <t>Rent from Electric Property</t>
  </si>
  <si>
    <t>Elect Revenue-Other Electric Revenues</t>
  </si>
  <si>
    <t>Total Other Revenues</t>
  </si>
  <si>
    <t>Wheeling Revenues:</t>
  </si>
  <si>
    <t>Other Electric Revenues</t>
  </si>
  <si>
    <t>Puget Sound Energy</t>
  </si>
  <si>
    <t>Facilities with DSO</t>
  </si>
  <si>
    <t>Vantage Energy</t>
  </si>
  <si>
    <t>Seattle City Light</t>
  </si>
  <si>
    <t>Exchange/PTP-LTF</t>
  </si>
  <si>
    <t>Tacoma Power</t>
  </si>
  <si>
    <t>Non-Firm PTP Revenues</t>
  </si>
  <si>
    <t>Grant PUD Non-Firm PTP</t>
  </si>
  <si>
    <t>Total Wheeling Revenues</t>
  </si>
  <si>
    <t>System Load</t>
  </si>
  <si>
    <t>2018 BA Hourly Peak</t>
  </si>
  <si>
    <t>Loads - NCP (Note A)</t>
  </si>
  <si>
    <t>2018 System Load Hourly Peak</t>
  </si>
  <si>
    <t>USBR Large</t>
  </si>
  <si>
    <t>Adjusted System Load</t>
  </si>
  <si>
    <t>Month</t>
  </si>
  <si>
    <t>Calc'd GCPD_BA_LOAD MMAX</t>
  </si>
  <si>
    <t>Schrag</t>
  </si>
  <si>
    <t>Kittitas</t>
  </si>
  <si>
    <t>Palisades</t>
  </si>
  <si>
    <t>USBR Large Loads</t>
  </si>
  <si>
    <t>USBR Small Loads Estimate</t>
  </si>
  <si>
    <t>Calc'd GCPD_SYST_LOAD MMAX</t>
  </si>
  <si>
    <t>Billing Units for all load using 115/230 but not using PTP</t>
  </si>
  <si>
    <t>115/230 Only Load During Peak</t>
  </si>
  <si>
    <t>Firm Point to Point Load</t>
  </si>
  <si>
    <t>13.2kV System Load - billing Units for load delivered to 13.2 kV</t>
  </si>
  <si>
    <t>Total Billing units for 115/230 System including PTP</t>
  </si>
  <si>
    <t>(m)</t>
  </si>
  <si>
    <t>(n)</t>
  </si>
  <si>
    <t>(o)</t>
  </si>
  <si>
    <t>d+e+f+g+h+i</t>
  </si>
  <si>
    <t>(k)-(l)</t>
  </si>
  <si>
    <t>k+m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</si>
  <si>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</si>
  <si>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</si>
  <si>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</si>
  <si>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</si>
  <si>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</si>
  <si>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</si>
  <si>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</si>
  <si>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</si>
  <si>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</si>
  <si>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</si>
  <si>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</si>
  <si>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</si>
  <si>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</si>
  <si>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>Loads reflect NCP billing determinants</t>
  </si>
  <si>
    <t>Grant County PUD has no firm point to point customers as of December 31, 2018.</t>
  </si>
  <si>
    <t>Explanation of Differences Between the 2019 COSS and the 2017 COSA</t>
  </si>
  <si>
    <t>Differences-$</t>
  </si>
  <si>
    <t>The primary difference between the 2019 COSS and the 2017 COSA per unit cost calculation is the</t>
  </si>
  <si>
    <t>methodology used to calculate the results.  The 2019 COSS employs a traditional FERC cost of</t>
  </si>
  <si>
    <t>service model which analyzes the embedded data in developing the cost components, such as O&amp;M</t>
  </si>
  <si>
    <t xml:space="preserve">expenses, Depreciation expense, Taxes - Other Than Income Taxes, Return on Investment, and </t>
  </si>
  <si>
    <t xml:space="preserve">Revenue Credits.  This methodolgy used the accrual basis of accounting. Where as the 2017 COSA </t>
  </si>
  <si>
    <t xml:space="preserve">is primary based on 2015 forecasted data averaged over a 5-year period to develop a cash basis </t>
  </si>
  <si>
    <t>revenue requirement.  This method used cost components such as O&amp;M (transmission and allocated</t>
  </si>
  <si>
    <t>A&amp;G), Debt and Cash used in Plant Investment, Power - Sales to Other Utilities, Broadband</t>
  </si>
  <si>
    <t>Network Sales, Interest/JLB payments/Misc., and Contributions In Aid of Construction.</t>
  </si>
  <si>
    <t>2019 COSS cost $/kW-month</t>
  </si>
  <si>
    <t>2017 COSA cost $/kW-month</t>
  </si>
  <si>
    <t>Difference</t>
  </si>
  <si>
    <t>2019 COSS - cost of service approach</t>
  </si>
  <si>
    <t>2017 COSA - cash revenue requirement approach</t>
  </si>
  <si>
    <t>Rate Impact of Increased Cost</t>
  </si>
  <si>
    <t>Explanation of Differences</t>
  </si>
  <si>
    <t>O&amp;M Expenses differences</t>
  </si>
  <si>
    <t>For details of the dollar differences between the two methodologies, see the attached sheet detailing</t>
  </si>
  <si>
    <t>the differences.  Of note, is the difference between O&amp;M expenses.</t>
  </si>
  <si>
    <t>2019 COSS O&amp;M expenses (includes transmission and A&amp;G O&amp;M expenses)</t>
  </si>
  <si>
    <t>2017 COSA O&amp;M expenses (includes transmission and A&amp;G O&amp;M expenses)</t>
  </si>
  <si>
    <t>It was discovered through analysis that the 2017 COSA O&amp;M expenses was not only a 5-year</t>
  </si>
  <si>
    <t>forecasted amount, but the transmission amount declined from $4.5 m in 2015 to $3.0 m in 2019,</t>
  </si>
  <si>
    <t>which is a 34% reduction in transmission O&amp;M expense.  For the 2017 COSA it was  projected these</t>
  </si>
  <si>
    <t>expenses would decrease over time.  But, as can seen in staff's analysis these expenses have increased</t>
  </si>
  <si>
    <t>over time.</t>
  </si>
  <si>
    <t>Depreciation Differences</t>
  </si>
  <si>
    <t xml:space="preserve">Under accrual accounting, depreciation expense is calculated and is part of the cost of service </t>
  </si>
  <si>
    <t>calculation, where as depreciation expense is not calculated under the cash approach</t>
  </si>
  <si>
    <t>2019 COSS depreciation expenses</t>
  </si>
  <si>
    <t>2017 COSA depreciation expenses</t>
  </si>
  <si>
    <t xml:space="preserve">The COSS model calculated transmission taxes - other based on 2018 actuals, while 2017 COSA </t>
  </si>
  <si>
    <t>did not calculate Taxes - other</t>
  </si>
  <si>
    <t>2019 COSS taxes - other expenses</t>
  </si>
  <si>
    <t>2017 COSA taxes - other expenses</t>
  </si>
  <si>
    <t>For the 2019 COSS, the Taxes-Other Than Income Taxes have been calculated to be consistent with</t>
  </si>
  <si>
    <t>2017 COSA and are a percentage of revenue added to the Cost of Service Factors.  Taxes include</t>
  </si>
  <si>
    <t>the Public Utility Tax and the Fire Protection District at 3.984% of revenues.</t>
  </si>
  <si>
    <t>Return on Investment</t>
  </si>
  <si>
    <t>Staff calculated a return on investment on a net plant  position in the 2019 COSS, where the 2017</t>
  </si>
  <si>
    <t>COSA used a combination of debt and cash used in plant investment.</t>
  </si>
  <si>
    <t>2019 COSS return on investment approach</t>
  </si>
  <si>
    <t>2017 COSA debt and cash approach</t>
  </si>
  <si>
    <t>By using the net transmission investment, the 2019 COSS model produces a rate of return of 6.02%.</t>
  </si>
  <si>
    <t>By using the same net transmission investment, the 2017 COSA model produces a rate return of 9.27%,</t>
  </si>
  <si>
    <t>a higher return on investment, a 53.99% increase.</t>
  </si>
  <si>
    <t>2019 COSS Other Revenue Credits</t>
  </si>
  <si>
    <t>2017 COSA Other Revenue Credits</t>
  </si>
  <si>
    <t>In addition, the 2017 COSA used the following other items to calculate the required cash</t>
  </si>
  <si>
    <t>revenue requirement - these items where not included in the 2019 COSS model</t>
  </si>
  <si>
    <t>Fiber Optic Network differences</t>
  </si>
  <si>
    <t>Other Expenses differences</t>
  </si>
  <si>
    <t>Other Revenue From Others differences</t>
  </si>
  <si>
    <t>CIAC differences</t>
  </si>
  <si>
    <t>Tax Removal differences</t>
  </si>
  <si>
    <t>Subtotal</t>
  </si>
  <si>
    <t>Total Differences</t>
  </si>
  <si>
    <t>Another primary driver in the rate increase reflected above is the volume used to calculate the unit cost.</t>
  </si>
  <si>
    <t>The 2019 COSS model used the historic 2018 system load. The 2017 COSA used a 5-year average</t>
  </si>
  <si>
    <t>based on projected load growth</t>
  </si>
  <si>
    <t>2019 COSS - Annual MW</t>
  </si>
  <si>
    <t>2017 COSA - Annual MW</t>
  </si>
  <si>
    <t>This resulted in a larger load and denominator in the design of the cost per unit.  To illustrate the</t>
  </si>
  <si>
    <t>impact, using the same cost of service - the 2019 COSS of $26,221,015</t>
  </si>
  <si>
    <t>2019 COSS per unit cost</t>
  </si>
  <si>
    <t>2017 COSA per unit cost</t>
  </si>
  <si>
    <t xml:space="preserve">Increase caused by volume </t>
  </si>
  <si>
    <t>Cost of Service Comparison</t>
  </si>
  <si>
    <t>New</t>
  </si>
  <si>
    <t>Old</t>
  </si>
  <si>
    <t>("COSS")</t>
  </si>
  <si>
    <t>("COSA")</t>
  </si>
  <si>
    <t xml:space="preserve">  Administrative and General (net of Acct. 924)</t>
  </si>
  <si>
    <t xml:space="preserve">  Administrative and General (Acct. 924)</t>
  </si>
  <si>
    <t xml:space="preserve">  Transmission</t>
  </si>
  <si>
    <t xml:space="preserve">  General</t>
  </si>
  <si>
    <t>2015 COSA Items Used in Development Not Used in 2019 COSS</t>
  </si>
  <si>
    <t>Fiber Optic Network</t>
  </si>
  <si>
    <t>Other Expenses</t>
  </si>
  <si>
    <t>Other Revenue From Others</t>
  </si>
  <si>
    <t>CIAC</t>
  </si>
  <si>
    <t>Tax Removal</t>
  </si>
  <si>
    <t>2015 COSA and Rates for Transmission and Distribution</t>
  </si>
  <si>
    <t>Distrubution</t>
  </si>
  <si>
    <t>2015</t>
  </si>
  <si>
    <t>Rate Design</t>
  </si>
  <si>
    <t>115 kV</t>
  </si>
  <si>
    <t>13.2kV</t>
  </si>
  <si>
    <t>Transmission/Distribution O&amp;M</t>
  </si>
  <si>
    <t>USBR Billing Units</t>
  </si>
  <si>
    <t>MW/month</t>
  </si>
  <si>
    <t>System Load Billing Units</t>
  </si>
  <si>
    <t>Administrative &amp; General O&amp;M</t>
  </si>
  <si>
    <t>Debt Service Existing</t>
  </si>
  <si>
    <t>Total Billing Units</t>
  </si>
  <si>
    <t>Debt Service Proposed</t>
  </si>
  <si>
    <t>Revenue Requirement</t>
  </si>
  <si>
    <t>Cash Financed Capital Projects</t>
  </si>
  <si>
    <t>Monthly Billing Rate</t>
  </si>
  <si>
    <t>Total Revenue Requirement</t>
  </si>
  <si>
    <t>WA State Public Utility Tax</t>
  </si>
  <si>
    <t>Billing Rate with Tax Included</t>
  </si>
  <si>
    <t>Total Net Revenue Requirements</t>
  </si>
  <si>
    <t>Total Net Revenue Requirements, Less Taxes</t>
  </si>
  <si>
    <t>Other Revenues and Deductions</t>
  </si>
  <si>
    <t>Small Load Revenue</t>
  </si>
  <si>
    <t>Nine Canyon Wind - Transmission Removal</t>
  </si>
  <si>
    <t>QC - Transmission Removal</t>
  </si>
  <si>
    <t>PEC - Transmission Removal</t>
  </si>
  <si>
    <t>Kittitas Distribution Revenue</t>
  </si>
  <si>
    <t>Schrag Revenue</t>
  </si>
  <si>
    <t>Palisades Revenue</t>
  </si>
  <si>
    <t>SCL/TCL Exchange</t>
  </si>
  <si>
    <t>Total Net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</si>
</sst>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_);_(&quot;$&quot;* \(#,##0.00000\);_(&quot;$&quot;* &quot;-&quot;??_);_(@_)"/>
    <numFmt numFmtId="166" formatCode="0.0%"/>
    <numFmt numFmtId="167" formatCode="_(* #,##0.0_);_(* \(#,##0.0\);_(* &quot;-&quot;??_);_(@_)"/>
    <numFmt numFmtId="168" formatCode="_(&quot;$&quot;* #,##0_);_(&quot;$&quot;* \(#,##0\);_(&quot;$&quot;* &quot;-&quot;??_);_(@_)"/>
    <numFmt numFmtId="169" formatCode="#,##0.00000"/>
    <numFmt numFmtId="170" formatCode="0.000%"/>
    <numFmt numFmtId="171" formatCode="0.000000000E+00"/>
    <numFmt numFmtId="172" formatCode="0.000000%"/>
    <numFmt numFmtId="173" formatCode="_(&quot;$&quot;* #,##0.0000_);_(&quot;$&quot;* \(#,##0.0000\);_(&quot;$&quot;* &quot;-&quot;??_);_(@_)"/>
  </numFmts>
  <fonts count="30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2"/>
      <name val="ZapfCalligr BT"/>
    </font>
    <font>
      <sz val="10"/>
      <name val="Times New Roman"/>
      <family val="1"/>
    </font>
    <font>
      <b/>
      <sz val="14"/>
      <color indexed="8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Times New Roman"/>
      <family val="2"/>
    </font>
    <font>
      <b/>
      <sz val="14"/>
      <color theme="1"/>
      <name val="Times New Roman"/>
      <family val="1"/>
    </font>
    <font>
      <u/>
      <sz val="18"/>
      <color theme="1"/>
      <name val="Times New Roman"/>
      <family val="2"/>
    </font>
    <font>
      <b/>
      <u/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rgb="FF000000"/>
      <name val="Times New Roman"/>
      <family val="1"/>
    </font>
    <font>
      <i/>
      <u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u/>
      <sz val="18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/>
    <xf numFmtId="164" fontId="3" fillId="0" borderId="1" xfId="1" applyNumberFormat="1" applyFont="1" applyFill="1" applyBorder="1"/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indent="1"/>
      <protection locked="0"/>
    </xf>
    <xf numFmtId="10" fontId="6" fillId="0" borderId="0" xfId="2" applyNumberFormat="1" applyFont="1" applyAlignment="1" applyProtection="1"/>
    <xf numFmtId="0" fontId="6" fillId="0" borderId="0" xfId="0" applyFont="1" applyAlignment="1" applyProtection="1">
      <alignment horizontal="left" indent="2"/>
      <protection locked="0"/>
    </xf>
    <xf numFmtId="10" fontId="7" fillId="0" borderId="0" xfId="0" applyNumberFormat="1" applyFont="1"/>
    <xf numFmtId="10" fontId="3" fillId="0" borderId="0" xfId="0" applyNumberFormat="1" applyFont="1"/>
    <xf numFmtId="37" fontId="3" fillId="0" borderId="0" xfId="0" applyNumberFormat="1" applyFont="1"/>
    <xf numFmtId="0" fontId="3" fillId="0" borderId="0" xfId="0" applyFont="1" applyAlignment="1">
      <alignment horizontal="center"/>
    </xf>
    <xf numFmtId="3" fontId="6" fillId="0" borderId="0" xfId="0" applyNumberFormat="1" applyFont="1" applyProtection="1">
      <protection locked="0"/>
    </xf>
    <xf numFmtId="9" fontId="6" fillId="0" borderId="0" xfId="2" applyFont="1" applyFill="1" applyAlignment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9" fillId="0" borderId="0" xfId="1" applyNumberFormat="1" applyFont="1" applyFill="1"/>
    <xf numFmtId="37" fontId="8" fillId="0" borderId="0" xfId="1" applyNumberFormat="1" applyFont="1" applyFill="1" applyAlignment="1">
      <alignment vertical="center"/>
    </xf>
    <xf numFmtId="37" fontId="3" fillId="0" borderId="3" xfId="0" applyNumberFormat="1" applyFont="1" applyBorder="1"/>
    <xf numFmtId="37" fontId="3" fillId="0" borderId="1" xfId="1" applyNumberFormat="1" applyFont="1" applyFill="1" applyBorder="1"/>
    <xf numFmtId="37" fontId="3" fillId="0" borderId="0" xfId="1" applyNumberFormat="1" applyFont="1" applyFill="1"/>
    <xf numFmtId="37" fontId="6" fillId="0" borderId="0" xfId="1" applyNumberFormat="1" applyFont="1" applyFill="1" applyAlignment="1">
      <alignment vertical="center"/>
    </xf>
    <xf numFmtId="37" fontId="3" fillId="0" borderId="5" xfId="1" applyNumberFormat="1" applyFont="1" applyFill="1" applyBorder="1"/>
    <xf numFmtId="164" fontId="3" fillId="0" borderId="3" xfId="1" applyNumberFormat="1" applyFont="1" applyFill="1" applyBorder="1"/>
    <xf numFmtId="37" fontId="3" fillId="0" borderId="3" xfId="1" applyNumberFormat="1" applyFont="1" applyFill="1" applyBorder="1"/>
    <xf numFmtId="10" fontId="3" fillId="0" borderId="3" xfId="2" applyNumberFormat="1" applyFont="1" applyBorder="1"/>
    <xf numFmtId="37" fontId="3" fillId="0" borderId="4" xfId="0" applyNumberFormat="1" applyFont="1" applyBorder="1"/>
    <xf numFmtId="37" fontId="3" fillId="0" borderId="0" xfId="0" applyNumberFormat="1" applyFont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quotePrefix="1" applyNumberFormat="1" applyFont="1"/>
    <xf numFmtId="10" fontId="3" fillId="0" borderId="0" xfId="2" applyNumberFormat="1" applyFont="1"/>
    <xf numFmtId="37" fontId="10" fillId="0" borderId="0" xfId="0" applyNumberFormat="1" applyFont="1"/>
    <xf numFmtId="37" fontId="10" fillId="0" borderId="0" xfId="0" applyNumberFormat="1" applyFont="1" applyAlignment="1">
      <alignment horizontal="center"/>
    </xf>
    <xf numFmtId="10" fontId="6" fillId="0" borderId="3" xfId="2" applyNumberFormat="1" applyFont="1" applyBorder="1" applyAlignment="1" applyProtection="1"/>
    <xf numFmtId="0" fontId="6" fillId="0" borderId="0" xfId="4" applyFont="1"/>
    <xf numFmtId="0" fontId="5" fillId="0" borderId="0" xfId="4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4" applyFont="1" applyAlignment="1">
      <alignment horizontal="left" wrapText="1" indent="1"/>
    </xf>
    <xf numFmtId="0" fontId="6" fillId="0" borderId="0" xfId="4" applyFont="1" applyAlignment="1">
      <alignment horizontal="left" indent="2"/>
    </xf>
    <xf numFmtId="49" fontId="6" fillId="0" borderId="0" xfId="4" applyNumberFormat="1" applyFont="1" applyAlignment="1">
      <alignment horizontal="center"/>
    </xf>
    <xf numFmtId="164" fontId="6" fillId="0" borderId="0" xfId="5" applyNumberFormat="1" applyFont="1" applyFill="1" applyProtection="1"/>
    <xf numFmtId="10" fontId="6" fillId="0" borderId="0" xfId="2" applyNumberFormat="1" applyFont="1" applyFill="1" applyProtection="1"/>
    <xf numFmtId="164" fontId="6" fillId="0" borderId="1" xfId="5" applyNumberFormat="1" applyFont="1" applyFill="1" applyBorder="1" applyProtection="1"/>
    <xf numFmtId="0" fontId="5" fillId="0" borderId="0" xfId="4" applyFont="1" applyAlignment="1">
      <alignment horizontal="left" indent="1"/>
    </xf>
    <xf numFmtId="164" fontId="6" fillId="0" borderId="0" xfId="1" applyNumberFormat="1" applyFont="1" applyFill="1" applyProtection="1"/>
    <xf numFmtId="49" fontId="6" fillId="0" borderId="0" xfId="4" applyNumberFormat="1" applyFont="1"/>
    <xf numFmtId="49" fontId="6" fillId="0" borderId="0" xfId="4" quotePrefix="1" applyNumberFormat="1" applyFont="1" applyAlignment="1">
      <alignment horizontal="center"/>
    </xf>
    <xf numFmtId="44" fontId="6" fillId="0" borderId="0" xfId="3" applyFont="1" applyFill="1" applyProtection="1"/>
    <xf numFmtId="165" fontId="6" fillId="0" borderId="0" xfId="3" applyNumberFormat="1" applyFont="1" applyFill="1" applyProtection="1"/>
    <xf numFmtId="0" fontId="6" fillId="0" borderId="0" xfId="4" applyFont="1" applyAlignment="1">
      <alignment horizontal="left" indent="1"/>
    </xf>
    <xf numFmtId="0" fontId="13" fillId="0" borderId="0" xfId="0" applyFont="1" applyAlignment="1">
      <alignment horizontal="center"/>
    </xf>
    <xf numFmtId="37" fontId="4" fillId="0" borderId="0" xfId="0" applyNumberFormat="1" applyFont="1"/>
    <xf numFmtId="37" fontId="13" fillId="0" borderId="0" xfId="0" applyNumberFormat="1" applyFont="1"/>
    <xf numFmtId="37" fontId="3" fillId="0" borderId="0" xfId="0" applyNumberFormat="1" applyFont="1" applyAlignment="1">
      <alignment horizontal="right"/>
    </xf>
    <xf numFmtId="37" fontId="7" fillId="0" borderId="0" xfId="0" applyNumberFormat="1" applyFont="1"/>
    <xf numFmtId="37" fontId="5" fillId="0" borderId="3" xfId="0" applyNumberFormat="1" applyFont="1" applyBorder="1" applyAlignment="1" applyProtection="1">
      <alignment horizontal="centerContinuous"/>
      <protection locked="0"/>
    </xf>
    <xf numFmtId="37" fontId="13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37" fontId="3" fillId="0" borderId="0" xfId="1" applyNumberFormat="1" applyFont="1"/>
    <xf numFmtId="37" fontId="3" fillId="0" borderId="0" xfId="0" applyNumberFormat="1" applyFont="1" applyAlignment="1">
      <alignment vertical="center"/>
    </xf>
    <xf numFmtId="37" fontId="4" fillId="0" borderId="0" xfId="0" applyNumberFormat="1" applyFont="1" applyAlignment="1">
      <alignment horizontal="left" indent="1"/>
    </xf>
    <xf numFmtId="37" fontId="3" fillId="0" borderId="0" xfId="1" applyNumberFormat="1" applyFont="1" applyFill="1" applyBorder="1"/>
    <xf numFmtId="37" fontId="3" fillId="0" borderId="0" xfId="0" applyNumberFormat="1" applyFont="1" applyAlignment="1">
      <alignment horizontal="left"/>
    </xf>
    <xf numFmtId="37" fontId="3" fillId="0" borderId="1" xfId="0" applyNumberFormat="1" applyFont="1" applyBorder="1"/>
    <xf numFmtId="37" fontId="7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left"/>
    </xf>
    <xf numFmtId="37" fontId="3" fillId="0" borderId="4" xfId="1" applyNumberFormat="1" applyFont="1" applyBorder="1"/>
    <xf numFmtId="0" fontId="14" fillId="0" borderId="0" xfId="0" applyFont="1" applyAlignment="1">
      <alignment horizontal="center"/>
    </xf>
    <xf numFmtId="0" fontId="14" fillId="0" borderId="0" xfId="4" applyFont="1" applyAlignment="1">
      <alignment horizontal="left" indent="1"/>
    </xf>
    <xf numFmtId="37" fontId="15" fillId="0" borderId="0" xfId="0" applyNumberFormat="1" applyFont="1"/>
    <xf numFmtId="0" fontId="14" fillId="0" borderId="0" xfId="0" applyFont="1" applyProtection="1">
      <protection locked="0"/>
    </xf>
    <xf numFmtId="0" fontId="13" fillId="0" borderId="0" xfId="0" applyFont="1"/>
    <xf numFmtId="0" fontId="7" fillId="0" borderId="0" xfId="0" applyFont="1"/>
    <xf numFmtId="0" fontId="3" fillId="0" borderId="0" xfId="0" applyFont="1" applyAlignment="1">
      <alignment horizontal="left" indent="1"/>
    </xf>
    <xf numFmtId="166" fontId="3" fillId="0" borderId="0" xfId="2" applyNumberFormat="1" applyFont="1" applyFill="1"/>
    <xf numFmtId="10" fontId="3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left" indent="2"/>
    </xf>
    <xf numFmtId="166" fontId="3" fillId="0" borderId="1" xfId="0" applyNumberFormat="1" applyFont="1" applyBorder="1"/>
    <xf numFmtId="10" fontId="3" fillId="0" borderId="1" xfId="0" applyNumberFormat="1" applyFont="1" applyBorder="1"/>
    <xf numFmtId="0" fontId="0" fillId="0" borderId="0" xfId="0" applyAlignment="1">
      <alignment horizontal="center"/>
    </xf>
    <xf numFmtId="37" fontId="0" fillId="0" borderId="0" xfId="0" applyNumberFormat="1"/>
    <xf numFmtId="37" fontId="0" fillId="0" borderId="3" xfId="0" applyNumberFormat="1" applyBorder="1"/>
    <xf numFmtId="37" fontId="16" fillId="0" borderId="0" xfId="0" applyNumberFormat="1" applyFont="1"/>
    <xf numFmtId="37" fontId="0" fillId="0" borderId="4" xfId="0" applyNumberFormat="1" applyBorder="1"/>
    <xf numFmtId="37" fontId="0" fillId="0" borderId="0" xfId="0" applyNumberFormat="1" applyAlignment="1">
      <alignment horizontal="center"/>
    </xf>
    <xf numFmtId="37" fontId="0" fillId="0" borderId="0" xfId="0" quotePrefix="1" applyNumberFormat="1" applyAlignment="1">
      <alignment horizontal="center"/>
    </xf>
    <xf numFmtId="39" fontId="0" fillId="0" borderId="0" xfId="0" applyNumberFormat="1"/>
    <xf numFmtId="166" fontId="0" fillId="0" borderId="3" xfId="2" applyNumberFormat="1" applyFont="1" applyBorder="1"/>
    <xf numFmtId="39" fontId="0" fillId="0" borderId="4" xfId="0" applyNumberFormat="1" applyBorder="1"/>
    <xf numFmtId="37" fontId="0" fillId="0" borderId="3" xfId="0" applyNumberFormat="1" applyBorder="1" applyAlignment="1">
      <alignment horizontal="center"/>
    </xf>
    <xf numFmtId="37" fontId="0" fillId="0" borderId="3" xfId="0" applyNumberFormat="1" applyBorder="1" applyAlignment="1">
      <alignment horizontal="centerContinuous"/>
    </xf>
    <xf numFmtId="37" fontId="17" fillId="0" borderId="0" xfId="0" applyNumberFormat="1" applyFont="1"/>
    <xf numFmtId="37" fontId="3" fillId="0" borderId="5" xfId="0" applyNumberFormat="1" applyFont="1" applyBorder="1"/>
    <xf numFmtId="0" fontId="18" fillId="0" borderId="0" xfId="0" applyFont="1" applyAlignment="1">
      <alignment horizontal="center"/>
    </xf>
    <xf numFmtId="37" fontId="0" fillId="0" borderId="6" xfId="0" applyNumberFormat="1" applyBorder="1"/>
    <xf numFmtId="0" fontId="16" fillId="0" borderId="0" xfId="0" applyFont="1"/>
    <xf numFmtId="2" fontId="0" fillId="0" borderId="0" xfId="0" applyNumberFormat="1"/>
    <xf numFmtId="2" fontId="0" fillId="0" borderId="3" xfId="0" applyNumberFormat="1" applyBorder="1"/>
    <xf numFmtId="2" fontId="0" fillId="0" borderId="6" xfId="0" applyNumberFormat="1" applyBorder="1"/>
    <xf numFmtId="0" fontId="0" fillId="0" borderId="3" xfId="0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37" fontId="3" fillId="0" borderId="0" xfId="0" applyNumberFormat="1" applyFont="1" applyAlignment="1">
      <alignment horizontal="centerContinuous"/>
    </xf>
    <xf numFmtId="37" fontId="4" fillId="0" borderId="0" xfId="0" applyNumberFormat="1" applyFont="1" applyAlignment="1">
      <alignment horizontal="centerContinuous"/>
    </xf>
    <xf numFmtId="37" fontId="13" fillId="0" borderId="0" xfId="0" applyNumberFormat="1" applyFont="1" applyAlignment="1">
      <alignment horizontal="centerContinuous"/>
    </xf>
    <xf numFmtId="37" fontId="1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3" xfId="0" applyNumberFormat="1" applyFont="1" applyBorder="1"/>
    <xf numFmtId="3" fontId="6" fillId="0" borderId="2" xfId="0" applyNumberFormat="1" applyFont="1" applyBorder="1" applyAlignment="1" applyProtection="1">
      <alignment horizontal="center"/>
      <protection locked="0"/>
    </xf>
    <xf numFmtId="164" fontId="6" fillId="0" borderId="0" xfId="1" applyNumberFormat="1" applyFont="1" applyFill="1" applyAlignment="1" applyProtection="1"/>
    <xf numFmtId="10" fontId="6" fillId="0" borderId="0" xfId="2" applyNumberFormat="1" applyFont="1" applyFill="1" applyAlignment="1" applyProtection="1"/>
    <xf numFmtId="164" fontId="6" fillId="0" borderId="2" xfId="1" applyNumberFormat="1" applyFont="1" applyFill="1" applyBorder="1" applyAlignment="1" applyProtection="1"/>
    <xf numFmtId="10" fontId="6" fillId="0" borderId="3" xfId="2" applyNumberFormat="1" applyFont="1" applyFill="1" applyBorder="1" applyAlignment="1" applyProtection="1"/>
    <xf numFmtId="3" fontId="6" fillId="0" borderId="1" xfId="0" applyNumberFormat="1" applyFont="1" applyBorder="1"/>
    <xf numFmtId="3" fontId="6" fillId="0" borderId="0" xfId="0" applyNumberFormat="1" applyFont="1"/>
    <xf numFmtId="43" fontId="3" fillId="0" borderId="0" xfId="0" applyNumberFormat="1" applyFont="1"/>
    <xf numFmtId="10" fontId="3" fillId="0" borderId="3" xfId="2" applyNumberFormat="1" applyFont="1" applyFill="1" applyBorder="1"/>
    <xf numFmtId="37" fontId="15" fillId="0" borderId="0" xfId="0" applyNumberFormat="1" applyFont="1" applyAlignment="1">
      <alignment horizontal="centerContinuous"/>
    </xf>
    <xf numFmtId="37" fontId="3" fillId="0" borderId="3" xfId="0" applyNumberFormat="1" applyFont="1" applyBorder="1" applyAlignment="1">
      <alignment horizontal="centerContinuous"/>
    </xf>
    <xf numFmtId="37" fontId="3" fillId="0" borderId="0" xfId="0" quotePrefix="1" applyNumberFormat="1" applyFont="1" applyAlignment="1">
      <alignment horizontal="center"/>
    </xf>
    <xf numFmtId="10" fontId="3" fillId="0" borderId="0" xfId="2" applyNumberFormat="1" applyFont="1" applyFill="1"/>
    <xf numFmtId="0" fontId="13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164" fontId="3" fillId="0" borderId="0" xfId="1" applyNumberFormat="1" applyFont="1"/>
    <xf numFmtId="0" fontId="21" fillId="0" borderId="0" xfId="6" applyFont="1"/>
    <xf numFmtId="37" fontId="3" fillId="0" borderId="0" xfId="0" applyNumberFormat="1" applyFont="1" applyAlignment="1">
      <alignment wrapText="1"/>
    </xf>
    <xf numFmtId="37" fontId="3" fillId="0" borderId="0" xfId="1" applyNumberFormat="1" applyFont="1" applyBorder="1"/>
    <xf numFmtId="37" fontId="7" fillId="0" borderId="2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6" fillId="0" borderId="3" xfId="0" applyNumberFormat="1" applyFont="1" applyBorder="1" applyAlignment="1" applyProtection="1">
      <alignment horizontal="centerContinuous"/>
      <protection locked="0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15" fillId="0" borderId="0" xfId="0" applyNumberFormat="1" applyFont="1" applyAlignment="1">
      <alignment horizontal="left" vertical="center"/>
    </xf>
    <xf numFmtId="37" fontId="15" fillId="0" borderId="0" xfId="0" applyNumberFormat="1" applyFont="1" applyAlignment="1">
      <alignment horizontal="left"/>
    </xf>
    <xf numFmtId="10" fontId="3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3" fillId="0" borderId="0" xfId="3" applyNumberFormat="1" applyFont="1" applyFill="1"/>
    <xf numFmtId="164" fontId="3" fillId="0" borderId="0" xfId="1" applyNumberFormat="1" applyFont="1" applyFill="1" applyAlignment="1">
      <alignment horizontal="center"/>
    </xf>
    <xf numFmtId="10" fontId="3" fillId="0" borderId="0" xfId="2" applyNumberFormat="1" applyFont="1" applyAlignment="1">
      <alignment horizontal="center"/>
    </xf>
    <xf numFmtId="44" fontId="3" fillId="0" borderId="0" xfId="3" applyFont="1" applyFill="1"/>
    <xf numFmtId="10" fontId="3" fillId="0" borderId="0" xfId="2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3" fillId="0" borderId="0" xfId="0" quotePrefix="1" applyFont="1"/>
    <xf numFmtId="164" fontId="3" fillId="0" borderId="4" xfId="0" applyNumberFormat="1" applyFont="1" applyBorder="1"/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 indent="1"/>
      <protection locked="0"/>
    </xf>
    <xf numFmtId="0" fontId="6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10" fontId="6" fillId="0" borderId="4" xfId="2" applyNumberFormat="1" applyFont="1" applyFill="1" applyBorder="1" applyAlignment="1" applyProtection="1">
      <alignment horizontal="right"/>
    </xf>
    <xf numFmtId="0" fontId="7" fillId="0" borderId="2" xfId="0" applyFont="1" applyBorder="1"/>
    <xf numFmtId="0" fontId="13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3" fontId="6" fillId="0" borderId="3" xfId="0" applyNumberFormat="1" applyFont="1" applyBorder="1" applyProtection="1">
      <protection locked="0"/>
    </xf>
    <xf numFmtId="169" fontId="6" fillId="0" borderId="0" xfId="0" applyNumberFormat="1" applyFont="1" applyAlignment="1">
      <alignment horizontal="right"/>
    </xf>
    <xf numFmtId="168" fontId="6" fillId="0" borderId="0" xfId="3" applyNumberFormat="1" applyFont="1" applyFill="1" applyAlignment="1" applyProtection="1"/>
    <xf numFmtId="168" fontId="6" fillId="0" borderId="3" xfId="3" applyNumberFormat="1" applyFont="1" applyFill="1" applyBorder="1" applyAlignment="1" applyProtection="1"/>
    <xf numFmtId="10" fontId="6" fillId="0" borderId="4" xfId="2" applyNumberFormat="1" applyFont="1" applyFill="1" applyBorder="1" applyAlignment="1" applyProtection="1"/>
    <xf numFmtId="10" fontId="6" fillId="0" borderId="4" xfId="2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0" fontId="0" fillId="0" borderId="0" xfId="0" quotePrefix="1"/>
    <xf numFmtId="0" fontId="0" fillId="0" borderId="3" xfId="0" applyBorder="1"/>
    <xf numFmtId="0" fontId="10" fillId="0" borderId="0" xfId="0" quotePrefix="1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Alignment="1">
      <alignment horizontal="right"/>
    </xf>
    <xf numFmtId="39" fontId="3" fillId="0" borderId="0" xfId="0" applyNumberFormat="1" applyFont="1"/>
    <xf numFmtId="0" fontId="22" fillId="0" borderId="7" xfId="0" applyFont="1" applyBorder="1" applyAlignment="1">
      <alignment horizontal="center"/>
    </xf>
    <xf numFmtId="39" fontId="3" fillId="0" borderId="4" xfId="0" applyNumberFormat="1" applyFont="1" applyBorder="1"/>
    <xf numFmtId="39" fontId="3" fillId="0" borderId="3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170" fontId="0" fillId="0" borderId="0" xfId="2" applyNumberFormat="1" applyFont="1"/>
    <xf numFmtId="0" fontId="0" fillId="0" borderId="3" xfId="0" applyBorder="1" applyAlignment="1">
      <alignment horizontal="center"/>
    </xf>
    <xf numFmtId="170" fontId="3" fillId="0" borderId="3" xfId="2" applyNumberFormat="1" applyFont="1" applyBorder="1"/>
    <xf numFmtId="37" fontId="4" fillId="0" borderId="0" xfId="1" applyNumberFormat="1" applyFont="1"/>
    <xf numFmtId="170" fontId="4" fillId="0" borderId="4" xfId="2" applyNumberFormat="1" applyFont="1" applyBorder="1"/>
    <xf numFmtId="164" fontId="6" fillId="0" borderId="0" xfId="5" applyNumberFormat="1" applyFont="1" applyFill="1" applyBorder="1" applyProtection="1"/>
    <xf numFmtId="44" fontId="5" fillId="0" borderId="0" xfId="3" applyFont="1" applyFill="1" applyProtection="1"/>
    <xf numFmtId="165" fontId="5" fillId="0" borderId="0" xfId="3" applyNumberFormat="1" applyFont="1" applyFill="1" applyProtection="1"/>
    <xf numFmtId="0" fontId="17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15" fillId="0" borderId="0" xfId="0" applyFont="1"/>
    <xf numFmtId="0" fontId="13" fillId="0" borderId="0" xfId="0" quotePrefix="1" applyFont="1" applyAlignment="1">
      <alignment horizontal="center"/>
    </xf>
    <xf numFmtId="39" fontId="0" fillId="0" borderId="3" xfId="0" applyNumberFormat="1" applyBorder="1"/>
    <xf numFmtId="39" fontId="0" fillId="0" borderId="6" xfId="0" applyNumberFormat="1" applyBorder="1"/>
    <xf numFmtId="37" fontId="17" fillId="0" borderId="0" xfId="0" applyNumberFormat="1" applyFont="1" applyAlignment="1">
      <alignment horizontal="centerContinuous"/>
    </xf>
    <xf numFmtId="0" fontId="5" fillId="0" borderId="0" xfId="4" applyFont="1"/>
    <xf numFmtId="0" fontId="14" fillId="0" borderId="0" xfId="4" applyFont="1" applyAlignment="1">
      <alignment horizontal="centerContinuous"/>
    </xf>
    <xf numFmtId="0" fontId="5" fillId="0" borderId="3" xfId="4" applyFont="1" applyBorder="1" applyAlignment="1">
      <alignment horizontal="centerContinuous"/>
    </xf>
    <xf numFmtId="0" fontId="5" fillId="0" borderId="3" xfId="4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164" fontId="3" fillId="0" borderId="6" xfId="0" applyNumberFormat="1" applyFont="1" applyBorder="1"/>
    <xf numFmtId="37" fontId="25" fillId="0" borderId="0" xfId="0" applyNumberFormat="1" applyFont="1" applyAlignment="1">
      <alignment horizontal="center" wrapText="1"/>
    </xf>
    <xf numFmtId="39" fontId="3" fillId="0" borderId="6" xfId="0" applyNumberFormat="1" applyFont="1" applyBorder="1" applyAlignment="1">
      <alignment horizontal="right"/>
    </xf>
    <xf numFmtId="37" fontId="3" fillId="0" borderId="4" xfId="0" applyNumberFormat="1" applyFont="1" applyBorder="1" applyAlignment="1">
      <alignment horizontal="right"/>
    </xf>
    <xf numFmtId="39" fontId="4" fillId="0" borderId="0" xfId="0" applyNumberFormat="1" applyFont="1" applyAlignment="1">
      <alignment horizontal="right"/>
    </xf>
    <xf numFmtId="39" fontId="4" fillId="0" borderId="4" xfId="0" applyNumberFormat="1" applyFont="1" applyBorder="1" applyAlignment="1">
      <alignment horizontal="right"/>
    </xf>
    <xf numFmtId="37" fontId="4" fillId="0" borderId="4" xfId="0" applyNumberFormat="1" applyFont="1" applyBorder="1" applyAlignment="1">
      <alignment horizontal="right"/>
    </xf>
    <xf numFmtId="39" fontId="4" fillId="0" borderId="6" xfId="0" applyNumberFormat="1" applyFont="1" applyBorder="1" applyAlignment="1">
      <alignment horizontal="right"/>
    </xf>
    <xf numFmtId="39" fontId="4" fillId="0" borderId="3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center" wrapText="1"/>
    </xf>
    <xf numFmtId="37" fontId="6" fillId="0" borderId="0" xfId="0" applyNumberFormat="1" applyFont="1" applyAlignment="1" applyProtection="1">
      <alignment horizontal="centerContinuous"/>
      <protection locked="0"/>
    </xf>
    <xf numFmtId="37" fontId="3" fillId="0" borderId="0" xfId="0" quotePrefix="1" applyNumberFormat="1" applyFont="1" applyAlignment="1">
      <alignment horizontal="right"/>
    </xf>
    <xf numFmtId="37" fontId="7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4" fillId="0" borderId="3" xfId="0" applyFont="1" applyBorder="1"/>
    <xf numFmtId="10" fontId="3" fillId="0" borderId="4" xfId="2" applyNumberFormat="1" applyFont="1" applyFill="1" applyBorder="1"/>
    <xf numFmtId="164" fontId="0" fillId="0" borderId="0" xfId="0" applyNumberFormat="1"/>
    <xf numFmtId="37" fontId="26" fillId="0" borderId="0" xfId="1" applyNumberFormat="1" applyFont="1" applyFill="1"/>
    <xf numFmtId="171" fontId="3" fillId="0" borderId="0" xfId="0" applyNumberFormat="1" applyFont="1"/>
    <xf numFmtId="164" fontId="3" fillId="0" borderId="0" xfId="1" applyNumberFormat="1" applyFont="1" applyFill="1" applyBorder="1"/>
    <xf numFmtId="172" fontId="3" fillId="0" borderId="0" xfId="2" applyNumberFormat="1" applyFont="1" applyFill="1"/>
    <xf numFmtId="172" fontId="3" fillId="0" borderId="0" xfId="0" applyNumberFormat="1" applyFont="1"/>
    <xf numFmtId="164" fontId="27" fillId="0" borderId="1" xfId="1" applyNumberFormat="1" applyFont="1" applyFill="1" applyBorder="1"/>
    <xf numFmtId="37" fontId="28" fillId="0" borderId="0" xfId="1" applyNumberFormat="1" applyFont="1" applyFill="1" applyAlignment="1">
      <alignment vertical="center"/>
    </xf>
    <xf numFmtId="37" fontId="27" fillId="0" borderId="0" xfId="0" applyNumberFormat="1" applyFont="1"/>
    <xf numFmtId="164" fontId="28" fillId="0" borderId="0" xfId="1" applyNumberFormat="1" applyFont="1" applyFill="1" applyAlignment="1">
      <alignment vertical="center"/>
    </xf>
    <xf numFmtId="0" fontId="27" fillId="0" borderId="0" xfId="0" applyFont="1"/>
    <xf numFmtId="164" fontId="27" fillId="0" borderId="0" xfId="1" applyNumberFormat="1" applyFont="1" applyFill="1"/>
    <xf numFmtId="37" fontId="27" fillId="0" borderId="1" xfId="1" applyNumberFormat="1" applyFont="1" applyFill="1" applyBorder="1"/>
    <xf numFmtId="37" fontId="27" fillId="0" borderId="3" xfId="0" applyNumberFormat="1" applyFont="1" applyBorder="1"/>
    <xf numFmtId="37" fontId="27" fillId="0" borderId="0" xfId="1" applyNumberFormat="1" applyFont="1" applyFill="1"/>
    <xf numFmtId="164" fontId="27" fillId="0" borderId="0" xfId="0" applyNumberFormat="1" applyFont="1"/>
    <xf numFmtId="37" fontId="28" fillId="0" borderId="0" xfId="1" applyNumberFormat="1" applyFont="1" applyFill="1" applyBorder="1" applyAlignment="1">
      <alignment vertical="center"/>
    </xf>
    <xf numFmtId="37" fontId="28" fillId="0" borderId="3" xfId="1" applyNumberFormat="1" applyFont="1" applyFill="1" applyBorder="1" applyAlignment="1">
      <alignment vertical="center"/>
    </xf>
    <xf numFmtId="0" fontId="28" fillId="0" borderId="2" xfId="0" applyFont="1" applyBorder="1" applyAlignment="1" applyProtection="1">
      <alignment horizontal="center"/>
      <protection locked="0"/>
    </xf>
    <xf numFmtId="10" fontId="28" fillId="0" borderId="0" xfId="2" applyNumberFormat="1" applyFont="1" applyFill="1" applyAlignment="1" applyProtection="1"/>
    <xf numFmtId="10" fontId="28" fillId="0" borderId="3" xfId="2" applyNumberFormat="1" applyFont="1" applyFill="1" applyBorder="1" applyAlignment="1" applyProtection="1"/>
    <xf numFmtId="10" fontId="27" fillId="0" borderId="0" xfId="0" applyNumberFormat="1" applyFont="1"/>
    <xf numFmtId="10" fontId="29" fillId="0" borderId="0" xfId="0" applyNumberFormat="1" applyFont="1"/>
    <xf numFmtId="37" fontId="3" fillId="0" borderId="8" xfId="0" applyNumberFormat="1" applyFont="1" applyBorder="1"/>
    <xf numFmtId="37" fontId="3" fillId="0" borderId="9" xfId="0" applyNumberFormat="1" applyFont="1" applyBorder="1"/>
    <xf numFmtId="37" fontId="3" fillId="0" borderId="10" xfId="0" applyNumberFormat="1" applyFont="1" applyBorder="1"/>
    <xf numFmtId="37" fontId="3" fillId="0" borderId="11" xfId="0" applyNumberFormat="1" applyFont="1" applyBorder="1"/>
    <xf numFmtId="37" fontId="3" fillId="0" borderId="12" xfId="0" applyNumberFormat="1" applyFont="1" applyBorder="1"/>
    <xf numFmtId="37" fontId="3" fillId="0" borderId="13" xfId="0" applyNumberFormat="1" applyFont="1" applyBorder="1"/>
    <xf numFmtId="0" fontId="13" fillId="0" borderId="0" xfId="7" applyFont="1"/>
    <xf numFmtId="0" fontId="3" fillId="0" borderId="0" xfId="7" applyFont="1"/>
    <xf numFmtId="37" fontId="13" fillId="0" borderId="0" xfId="7" applyNumberFormat="1" applyFont="1" applyAlignment="1">
      <alignment horizontal="centerContinuous"/>
    </xf>
    <xf numFmtId="0" fontId="13" fillId="0" borderId="0" xfId="7" applyFont="1" applyAlignment="1">
      <alignment horizontal="centerContinuous"/>
    </xf>
    <xf numFmtId="0" fontId="3" fillId="0" borderId="0" xfId="7" applyFont="1" applyAlignment="1">
      <alignment horizontal="centerContinuous"/>
    </xf>
    <xf numFmtId="0" fontId="19" fillId="0" borderId="0" xfId="7" applyFont="1" applyAlignment="1">
      <alignment horizontal="centerContinuous"/>
    </xf>
    <xf numFmtId="0" fontId="7" fillId="0" borderId="0" xfId="7" applyFont="1"/>
    <xf numFmtId="0" fontId="4" fillId="0" borderId="0" xfId="7" applyFont="1"/>
    <xf numFmtId="0" fontId="5" fillId="0" borderId="0" xfId="7" applyFont="1" applyAlignment="1" applyProtection="1">
      <alignment horizontal="centerContinuous"/>
      <protection locked="0"/>
    </xf>
    <xf numFmtId="0" fontId="7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7" fillId="0" borderId="3" xfId="7" applyFont="1" applyBorder="1" applyAlignment="1">
      <alignment horizontal="centerContinuous" wrapText="1"/>
    </xf>
    <xf numFmtId="0" fontId="7" fillId="0" borderId="3" xfId="7" applyFont="1" applyBorder="1" applyAlignment="1">
      <alignment horizontal="centerContinuous"/>
    </xf>
    <xf numFmtId="0" fontId="3" fillId="0" borderId="3" xfId="7" applyFont="1" applyBorder="1" applyAlignment="1">
      <alignment horizontal="centerContinuous"/>
    </xf>
    <xf numFmtId="0" fontId="7" fillId="0" borderId="3" xfId="7" applyFont="1" applyBorder="1" applyAlignment="1">
      <alignment wrapText="1"/>
    </xf>
    <xf numFmtId="0" fontId="3" fillId="0" borderId="3" xfId="7" applyFont="1" applyBorder="1" applyAlignment="1">
      <alignment horizontal="center"/>
    </xf>
    <xf numFmtId="0" fontId="3" fillId="0" borderId="3" xfId="7" applyFont="1" applyBorder="1" applyAlignment="1">
      <alignment horizontal="center" wrapText="1"/>
    </xf>
    <xf numFmtId="0" fontId="3" fillId="0" borderId="0" xfId="7" applyFont="1" applyAlignment="1">
      <alignment wrapText="1"/>
    </xf>
    <xf numFmtId="0" fontId="10" fillId="0" borderId="0" xfId="7" applyFont="1"/>
    <xf numFmtId="0" fontId="13" fillId="0" borderId="0" xfId="7" applyFont="1" applyAlignment="1">
      <alignment horizontal="center"/>
    </xf>
    <xf numFmtId="0" fontId="3" fillId="0" borderId="0" xfId="7" quotePrefix="1" applyFont="1" applyAlignment="1">
      <alignment horizontal="center"/>
    </xf>
    <xf numFmtId="167" fontId="3" fillId="0" borderId="0" xfId="8" applyNumberFormat="1" applyFont="1" applyFill="1" applyAlignment="1">
      <alignment horizontal="left"/>
    </xf>
    <xf numFmtId="167" fontId="3" fillId="0" borderId="0" xfId="8" applyNumberFormat="1" applyFont="1" applyFill="1"/>
    <xf numFmtId="167" fontId="3" fillId="0" borderId="1" xfId="8" applyNumberFormat="1" applyFont="1" applyFill="1" applyBorder="1"/>
    <xf numFmtId="164" fontId="3" fillId="0" borderId="0" xfId="8" applyNumberFormat="1" applyFont="1"/>
    <xf numFmtId="167" fontId="3" fillId="0" borderId="0" xfId="8" applyNumberFormat="1" applyFont="1"/>
    <xf numFmtId="0" fontId="3" fillId="0" borderId="0" xfId="7" applyFont="1" applyAlignment="1">
      <alignment horizontal="left" indent="1"/>
    </xf>
    <xf numFmtId="173" fontId="5" fillId="0" borderId="0" xfId="3" applyNumberFormat="1" applyFont="1" applyFill="1" applyProtection="1"/>
    <xf numFmtId="0" fontId="6" fillId="0" borderId="0" xfId="4" quotePrefix="1" applyFont="1" applyAlignment="1">
      <alignment horizontal="left" indent="2"/>
    </xf>
    <xf numFmtId="167" fontId="6" fillId="0" borderId="0" xfId="1" applyNumberFormat="1" applyFont="1" applyFill="1" applyProtection="1"/>
    <xf numFmtId="0" fontId="6" fillId="0" borderId="0" xfId="4" applyFont="1" applyAlignment="1">
      <alignment horizontal="center"/>
    </xf>
    <xf numFmtId="173" fontId="6" fillId="0" borderId="0" xfId="3" applyNumberFormat="1" applyFont="1" applyFill="1" applyProtection="1"/>
    <xf numFmtId="0" fontId="5" fillId="0" borderId="0" xfId="0" quotePrefix="1" applyFont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37" fontId="0" fillId="0" borderId="0" xfId="0" quotePrefix="1" applyNumberForma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3" xfId="7" applyFont="1" applyBorder="1" applyAlignment="1">
      <alignment horizontal="center" wrapText="1"/>
    </xf>
  </cellXfs>
  <cellStyles count="9">
    <cellStyle name="Comma" xfId="1" builtinId="3"/>
    <cellStyle name="Comma 2" xfId="5" xr:uid="{11243303-BAC6-4797-823B-61D2FA2BE27E}"/>
    <cellStyle name="Comma 3" xfId="8" xr:uid="{898D7CA0-DF1A-4693-A5A2-48046C896CFD}"/>
    <cellStyle name="Currency" xfId="3" builtinId="4"/>
    <cellStyle name="Hyperlink" xfId="6" builtinId="8"/>
    <cellStyle name="Normal" xfId="0" builtinId="0"/>
    <cellStyle name="Normal 2" xfId="4" xr:uid="{5298BE1C-E624-4D47-8388-8D65C01898F4}"/>
    <cellStyle name="Normal 3" xfId="7" xr:uid="{D6BBC711-2B37-45B2-A0DB-031226E146CB}"/>
    <cellStyle name="Percent" xfId="2" builtinId="5"/>
  </cellStyles>
  <dxfs count="0"/>
  <tableStyles count="1" defaultTableStyle="TableStyleMedium2" defaultPivotStyle="PivotStyleLight16">
    <tableStyle name="Invisible" pivot="0" table="0" count="0" xr9:uid="{02BE7416-55F1-45A1-BE72-DC2FC91E48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_PUD_-_Final_Approved_Transmission_COSS_and_Rates%20-%20With%20PT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ments"/>
      <sheetName val="Cost of Service Factors-Exh. I"/>
      <sheetName val="Point-to-Point Rate-Exh I-1"/>
      <sheetName val="PTP Rate On Off Peak - Exh I-2"/>
      <sheetName val="Cost of Service-Exh. II"/>
      <sheetName val="Allocation Factors-Exh. III"/>
      <sheetName val="O&amp;M Expenses-Exh. IV"/>
      <sheetName val="Gross Plant In Service-Exh. V"/>
      <sheetName val="Accumulated Reserves-Exh. VI"/>
      <sheetName val="NPIS &amp; Rate Base-Exh. VII"/>
      <sheetName val="M&amp;S &amp; Prepayments-Exh. VIII"/>
      <sheetName val="Taxes-Other-Exh. IX"/>
      <sheetName val="Rate of Return-Exh. X"/>
      <sheetName val="Revenue Credits-Exh. XI"/>
      <sheetName val="System Load-Exh. XII"/>
      <sheetName val="Explanation of Differences"/>
      <sheetName val="Comparison to 2017 COSA"/>
      <sheetName val="2015 COS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7">
          <cell r="J17">
            <v>1</v>
          </cell>
        </row>
        <row r="31">
          <cell r="J31">
            <v>0.68016043575483931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bert Brill" id="{F21A42C4-424E-4448-9651-F44B5B55DCAA}" userId="S::rbrill@gcpud.org::392f8537-be62-4b67-bf60-ea82fad0d5d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" dT="2020-05-27T17:18:27.15" personId="{F21A42C4-424E-4448-9651-F44B5B55DCAA}" id="{D7F428F8-7F3C-4EB3-8553-9C3B48A018C5}">
    <text>Includes 5-yr average of Fiber Revenue, Interest and Other Income, and RPR repayment of loan to electric system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D78B-DB89-47E1-8938-50ECB9FE3252}">
  <dimension ref="A1:G76"/>
  <sheetViews>
    <sheetView workbookViewId="0"/>
  </sheetViews>
  <sheetFormatPr defaultColWidth="8.88671875" defaultRowHeight="18.75"/>
  <cols>
    <col min="1" max="1" width="4.44140625" style="11" customWidth="1"/>
    <col min="2" max="2" width="63" style="11" customWidth="1"/>
    <col min="3" max="3" width="13.5546875" style="11" bestFit="1" customWidth="1"/>
    <col min="4" max="4" width="8.88671875" style="11"/>
    <col min="5" max="5" width="15" style="11" customWidth="1"/>
    <col min="6" max="6" width="12.6640625" style="11" customWidth="1"/>
    <col min="7" max="7" width="8.88671875" style="11"/>
    <col min="8" max="8" width="13.109375" style="11" bestFit="1" customWidth="1"/>
    <col min="9" max="16384" width="8.88671875" style="11"/>
  </cols>
  <sheetData>
    <row r="1" spans="1:3" ht="46.5">
      <c r="A1" s="215" t="s">
        <v>0</v>
      </c>
      <c r="B1" s="207" t="s">
        <v>1</v>
      </c>
      <c r="C1" s="29" t="s">
        <v>2</v>
      </c>
    </row>
    <row r="2" spans="1:3">
      <c r="C2" s="28" t="s">
        <v>3</v>
      </c>
    </row>
    <row r="3" spans="1:3">
      <c r="A3" s="11">
        <v>1</v>
      </c>
      <c r="B3" s="70" t="s">
        <v>4</v>
      </c>
      <c r="C3" s="28"/>
    </row>
    <row r="4" spans="1:3">
      <c r="A4" s="11">
        <f>A3+1</f>
        <v>2</v>
      </c>
      <c r="B4" s="11" t="s">
        <v>5</v>
      </c>
    </row>
    <row r="5" spans="1:3">
      <c r="A5" s="11">
        <f t="shared" ref="A5:A6" si="0">A4+1</f>
        <v>3</v>
      </c>
      <c r="B5" s="11" t="s">
        <v>6</v>
      </c>
    </row>
    <row r="6" spans="1:3">
      <c r="A6" s="11">
        <f t="shared" si="0"/>
        <v>4</v>
      </c>
      <c r="B6" s="11" t="s">
        <v>7</v>
      </c>
    </row>
    <row r="7" spans="1:3">
      <c r="B7" s="30"/>
    </row>
    <row r="8" spans="1:3">
      <c r="A8" s="11">
        <f>A6+1</f>
        <v>5</v>
      </c>
      <c r="B8" s="11" t="s">
        <v>8</v>
      </c>
      <c r="C8" s="11">
        <v>-1628</v>
      </c>
    </row>
    <row r="9" spans="1:3">
      <c r="A9" s="11">
        <f>A8+1</f>
        <v>6</v>
      </c>
      <c r="B9" s="11" t="s">
        <v>9</v>
      </c>
      <c r="C9" s="11">
        <v>-631294</v>
      </c>
    </row>
    <row r="10" spans="1:3">
      <c r="A10" s="11">
        <f>A9+1</f>
        <v>7</v>
      </c>
      <c r="B10" s="11" t="s">
        <v>10</v>
      </c>
      <c r="C10" s="19">
        <v>-812432</v>
      </c>
    </row>
    <row r="11" spans="1:3" ht="19.5" thickBot="1">
      <c r="A11" s="11">
        <f>A10+1</f>
        <v>8</v>
      </c>
      <c r="B11" s="11" t="s">
        <v>11</v>
      </c>
      <c r="C11" s="27">
        <f>SUM(C8:C10)</f>
        <v>-1445354</v>
      </c>
    </row>
    <row r="12" spans="1:3" ht="19.5" thickTop="1"/>
    <row r="13" spans="1:3">
      <c r="A13" s="11">
        <f>A11+1</f>
        <v>9</v>
      </c>
      <c r="B13" s="11" t="s">
        <v>12</v>
      </c>
    </row>
    <row r="14" spans="1:3">
      <c r="A14" s="11">
        <f>A13+1</f>
        <v>10</v>
      </c>
      <c r="B14" s="11" t="s">
        <v>13</v>
      </c>
    </row>
    <row r="16" spans="1:3">
      <c r="A16" s="11">
        <f>A14+1</f>
        <v>11</v>
      </c>
      <c r="B16" s="11" t="s">
        <v>14</v>
      </c>
      <c r="C16" s="11">
        <v>-19270</v>
      </c>
    </row>
    <row r="17" spans="1:3">
      <c r="A17" s="11">
        <f>A16+1</f>
        <v>12</v>
      </c>
      <c r="B17" s="11" t="s">
        <v>9</v>
      </c>
      <c r="C17" s="11">
        <v>-2009706</v>
      </c>
    </row>
    <row r="18" spans="1:3">
      <c r="A18" s="11">
        <f>A17+1</f>
        <v>13</v>
      </c>
      <c r="B18" s="11" t="s">
        <v>10</v>
      </c>
      <c r="C18" s="19">
        <v>-913807</v>
      </c>
    </row>
    <row r="19" spans="1:3" ht="19.5" thickBot="1">
      <c r="A19" s="11">
        <f>A18+1</f>
        <v>14</v>
      </c>
      <c r="B19" s="11" t="s">
        <v>11</v>
      </c>
      <c r="C19" s="27">
        <f>SUM(C16:C18)</f>
        <v>-2942783</v>
      </c>
    </row>
    <row r="20" spans="1:3" ht="19.5" thickTop="1"/>
    <row r="21" spans="1:3">
      <c r="A21" s="11">
        <f>A19+1</f>
        <v>15</v>
      </c>
      <c r="B21" s="11" t="s">
        <v>15</v>
      </c>
    </row>
    <row r="22" spans="1:3">
      <c r="A22" s="11">
        <f>A21+1</f>
        <v>16</v>
      </c>
      <c r="B22" s="11" t="s">
        <v>13</v>
      </c>
    </row>
    <row r="24" spans="1:3">
      <c r="A24" s="11">
        <f>A22+1</f>
        <v>17</v>
      </c>
      <c r="B24" s="11" t="s">
        <v>14</v>
      </c>
      <c r="C24" s="11">
        <v>-7105</v>
      </c>
    </row>
    <row r="25" spans="1:3">
      <c r="A25" s="11">
        <f>A24+1</f>
        <v>18</v>
      </c>
      <c r="B25" s="11" t="s">
        <v>9</v>
      </c>
      <c r="C25" s="11">
        <v>-744975</v>
      </c>
    </row>
    <row r="26" spans="1:3">
      <c r="A26" s="11">
        <f>A25+1</f>
        <v>19</v>
      </c>
      <c r="B26" s="11" t="s">
        <v>10</v>
      </c>
      <c r="C26" s="19">
        <v>-573853</v>
      </c>
    </row>
    <row r="28" spans="1:3" ht="19.5" thickBot="1">
      <c r="A28" s="11">
        <f>A26+1</f>
        <v>20</v>
      </c>
      <c r="B28" s="11" t="s">
        <v>11</v>
      </c>
      <c r="C28" s="27">
        <f>SUM(C24:C26)</f>
        <v>-1325933</v>
      </c>
    </row>
    <row r="29" spans="1:3" ht="19.5" thickTop="1"/>
    <row r="30" spans="1:3">
      <c r="A30" s="11">
        <f>A28+1</f>
        <v>21</v>
      </c>
      <c r="B30" s="11" t="s">
        <v>16</v>
      </c>
    </row>
    <row r="31" spans="1:3">
      <c r="A31" s="11">
        <f>A30+1</f>
        <v>22</v>
      </c>
      <c r="B31" s="11" t="s">
        <v>17</v>
      </c>
    </row>
    <row r="33" spans="1:7">
      <c r="A33" s="11">
        <f>A31+1</f>
        <v>23</v>
      </c>
      <c r="B33" s="11" t="s">
        <v>14</v>
      </c>
      <c r="C33" s="11">
        <v>-4629</v>
      </c>
    </row>
    <row r="34" spans="1:7">
      <c r="A34" s="11">
        <f>A33+1</f>
        <v>24</v>
      </c>
      <c r="B34" s="11" t="s">
        <v>9</v>
      </c>
      <c r="C34" s="11">
        <v>-481600</v>
      </c>
    </row>
    <row r="35" spans="1:7">
      <c r="A35" s="11">
        <f>A34+1</f>
        <v>25</v>
      </c>
      <c r="B35" s="11" t="s">
        <v>10</v>
      </c>
      <c r="C35" s="19">
        <v>-495896</v>
      </c>
    </row>
    <row r="36" spans="1:7" ht="19.5" thickBot="1">
      <c r="A36" s="11">
        <f>A35+1</f>
        <v>26</v>
      </c>
      <c r="B36" s="11" t="s">
        <v>11</v>
      </c>
      <c r="C36" s="27">
        <f>SUM(C33:C35)</f>
        <v>-982125</v>
      </c>
    </row>
    <row r="37" spans="1:7" ht="19.5" thickTop="1"/>
    <row r="38" spans="1:7">
      <c r="A38" s="11">
        <f>A36+1</f>
        <v>27</v>
      </c>
      <c r="B38" s="11" t="s">
        <v>18</v>
      </c>
    </row>
    <row r="39" spans="1:7">
      <c r="A39" s="11">
        <f t="shared" ref="A39:A48" si="1">A38+1</f>
        <v>28</v>
      </c>
      <c r="B39" s="11" t="s">
        <v>19</v>
      </c>
    </row>
    <row r="40" spans="1:7">
      <c r="A40" s="11">
        <f t="shared" si="1"/>
        <v>29</v>
      </c>
      <c r="B40" s="11" t="s">
        <v>20</v>
      </c>
    </row>
    <row r="41" spans="1:7">
      <c r="A41" s="11">
        <f t="shared" si="1"/>
        <v>30</v>
      </c>
      <c r="B41" s="11" t="s">
        <v>21</v>
      </c>
    </row>
    <row r="42" spans="1:7">
      <c r="A42" s="11">
        <f t="shared" si="1"/>
        <v>31</v>
      </c>
      <c r="B42" s="11" t="s">
        <v>22</v>
      </c>
    </row>
    <row r="43" spans="1:7">
      <c r="A43" s="11">
        <f t="shared" si="1"/>
        <v>32</v>
      </c>
      <c r="B43" s="11" t="s">
        <v>23</v>
      </c>
    </row>
    <row r="45" spans="1:7">
      <c r="A45" s="11">
        <f>A43+1</f>
        <v>33</v>
      </c>
      <c r="B45" s="11" t="s">
        <v>14</v>
      </c>
      <c r="C45" s="11">
        <v>-17656</v>
      </c>
      <c r="E45"/>
      <c r="F45"/>
      <c r="G45"/>
    </row>
    <row r="46" spans="1:7">
      <c r="A46" s="11">
        <f t="shared" si="1"/>
        <v>34</v>
      </c>
      <c r="B46" s="11" t="s">
        <v>9</v>
      </c>
      <c r="C46" s="11">
        <v>-1838491</v>
      </c>
      <c r="E46"/>
      <c r="F46"/>
      <c r="G46"/>
    </row>
    <row r="47" spans="1:7">
      <c r="A47" s="11">
        <f t="shared" si="1"/>
        <v>35</v>
      </c>
      <c r="B47" s="11" t="s">
        <v>10</v>
      </c>
      <c r="C47" s="19">
        <v>-1524926</v>
      </c>
      <c r="E47"/>
      <c r="F47"/>
      <c r="G47"/>
    </row>
    <row r="48" spans="1:7" ht="19.5" thickBot="1">
      <c r="A48" s="11">
        <f t="shared" si="1"/>
        <v>36</v>
      </c>
      <c r="B48" s="11" t="s">
        <v>11</v>
      </c>
      <c r="C48" s="27">
        <f>SUM(C45:C47)</f>
        <v>-3381073</v>
      </c>
      <c r="E48"/>
      <c r="F48"/>
      <c r="G48"/>
    </row>
    <row r="49" spans="1:7" ht="19.5" thickTop="1">
      <c r="E49"/>
      <c r="F49"/>
      <c r="G49"/>
    </row>
    <row r="50" spans="1:7">
      <c r="A50" s="11">
        <f>A48+1</f>
        <v>37</v>
      </c>
      <c r="B50" s="70" t="s">
        <v>24</v>
      </c>
      <c r="C50" s="28"/>
    </row>
    <row r="51" spans="1:7">
      <c r="A51" s="11">
        <f>A50+1</f>
        <v>38</v>
      </c>
      <c r="B51" s="11" t="s">
        <v>25</v>
      </c>
      <c r="C51" s="28"/>
    </row>
    <row r="52" spans="1:7">
      <c r="A52" s="11">
        <f t="shared" ref="A52:A54" si="2">A51+1</f>
        <v>39</v>
      </c>
      <c r="B52" s="11" t="s">
        <v>26</v>
      </c>
      <c r="C52" s="28"/>
    </row>
    <row r="53" spans="1:7">
      <c r="A53" s="11">
        <f t="shared" si="2"/>
        <v>40</v>
      </c>
      <c r="B53" s="11" t="s">
        <v>27</v>
      </c>
      <c r="C53" s="28"/>
    </row>
    <row r="54" spans="1:7" ht="19.5" thickBot="1">
      <c r="A54" s="11">
        <f t="shared" si="2"/>
        <v>41</v>
      </c>
      <c r="B54" s="11" t="s">
        <v>28</v>
      </c>
      <c r="C54" s="209">
        <v>-950859</v>
      </c>
    </row>
    <row r="55" spans="1:7" ht="19.5" thickTop="1">
      <c r="C55" s="28"/>
    </row>
    <row r="56" spans="1:7">
      <c r="A56" s="11">
        <f>A54+1</f>
        <v>42</v>
      </c>
      <c r="B56" s="70" t="s">
        <v>29</v>
      </c>
      <c r="C56" s="28"/>
    </row>
    <row r="57" spans="1:7">
      <c r="C57" s="54"/>
    </row>
    <row r="58" spans="1:7" ht="19.5" thickBot="1">
      <c r="A58" s="11">
        <f>A56+1</f>
        <v>43</v>
      </c>
      <c r="B58" s="11" t="s">
        <v>30</v>
      </c>
      <c r="C58" s="209">
        <v>-71395</v>
      </c>
    </row>
    <row r="59" spans="1:7" ht="19.5" thickTop="1">
      <c r="B59" s="11" t="s">
        <v>31</v>
      </c>
      <c r="C59" s="54"/>
    </row>
    <row r="60" spans="1:7" ht="19.5" thickBot="1">
      <c r="A60" s="11">
        <f>A58+1</f>
        <v>44</v>
      </c>
      <c r="B60" s="11" t="s">
        <v>32</v>
      </c>
      <c r="C60" s="212">
        <f>C11+C19+C28+C54+C36+C58+C48</f>
        <v>-11099522</v>
      </c>
    </row>
    <row r="61" spans="1:7" ht="19.5" thickTop="1">
      <c r="C61" s="28"/>
    </row>
    <row r="62" spans="1:7" ht="19.5" thickBot="1">
      <c r="A62" s="11">
        <f>A60+1</f>
        <v>45</v>
      </c>
      <c r="B62" s="11" t="s">
        <v>33</v>
      </c>
      <c r="C62" s="211">
        <f>ROUND(C60/('Cost of Service Factors-Exh. I'!D16*1000)/12,2)</f>
        <v>-1.25</v>
      </c>
      <c r="D62" s="179"/>
    </row>
    <row r="63" spans="1:7" ht="19.5" thickTop="1">
      <c r="B63" s="11" t="s">
        <v>34</v>
      </c>
      <c r="C63" s="28"/>
    </row>
    <row r="64" spans="1:7">
      <c r="A64" s="11">
        <f>A62+1</f>
        <v>46</v>
      </c>
      <c r="B64" s="11" t="s">
        <v>35</v>
      </c>
      <c r="C64" s="28"/>
    </row>
    <row r="65" spans="1:3">
      <c r="A65" s="11">
        <f>A64+1</f>
        <v>47</v>
      </c>
      <c r="B65" s="11" t="s">
        <v>36</v>
      </c>
      <c r="C65" s="28"/>
    </row>
    <row r="66" spans="1:3">
      <c r="C66" s="28"/>
    </row>
    <row r="67" spans="1:3">
      <c r="A67" s="11">
        <f>A65+1</f>
        <v>48</v>
      </c>
      <c r="B67" s="32" t="s">
        <v>37</v>
      </c>
      <c r="C67" s="28"/>
    </row>
    <row r="68" spans="1:3">
      <c r="A68" s="11">
        <f>A67+1</f>
        <v>49</v>
      </c>
      <c r="B68" s="11" t="s">
        <v>38</v>
      </c>
      <c r="C68" s="178">
        <v>1.83</v>
      </c>
    </row>
    <row r="69" spans="1:3">
      <c r="A69" s="11">
        <f t="shared" ref="A69:A70" si="3">A68+1</f>
        <v>50</v>
      </c>
      <c r="B69" s="11" t="s">
        <v>39</v>
      </c>
      <c r="C69" s="182">
        <v>7.0000000000000007E-2</v>
      </c>
    </row>
    <row r="70" spans="1:3" ht="19.5" thickBot="1">
      <c r="A70" s="11">
        <f t="shared" si="3"/>
        <v>51</v>
      </c>
      <c r="B70" s="11" t="s">
        <v>40</v>
      </c>
      <c r="C70" s="208">
        <f>SUM(C68:C69)</f>
        <v>1.9000000000000001</v>
      </c>
    </row>
    <row r="71" spans="1:3" ht="19.5" thickTop="1">
      <c r="C71" s="28"/>
    </row>
    <row r="72" spans="1:3">
      <c r="A72" s="11">
        <f>+A70+1</f>
        <v>52</v>
      </c>
      <c r="B72" s="32" t="s">
        <v>41</v>
      </c>
      <c r="C72" s="28"/>
    </row>
    <row r="73" spans="1:3">
      <c r="A73" s="11">
        <f>A72+1</f>
        <v>53</v>
      </c>
      <c r="B73" s="11" t="s">
        <v>38</v>
      </c>
      <c r="C73" s="210">
        <f>'Cost of Service Factors-Exh. I'!D20</f>
        <v>2.4116853004550305</v>
      </c>
    </row>
    <row r="74" spans="1:3">
      <c r="A74" s="11">
        <f t="shared" ref="A74:A75" si="4">A73+1</f>
        <v>54</v>
      </c>
      <c r="B74" s="11" t="s">
        <v>39</v>
      </c>
      <c r="C74" s="214">
        <f>'Cost of Service Factors-Exh. I'!E20-'Cost of Service Factors-Exh. I'!D20</f>
        <v>9.8314699544969297E-2</v>
      </c>
    </row>
    <row r="75" spans="1:3" ht="19.5" thickBot="1">
      <c r="A75" s="11">
        <f t="shared" si="4"/>
        <v>55</v>
      </c>
      <c r="B75" s="11" t="s">
        <v>40</v>
      </c>
      <c r="C75" s="213">
        <f>SUM(C73:C74)</f>
        <v>2.5099999999999998</v>
      </c>
    </row>
    <row r="76" spans="1:3" ht="19.5" thickTop="1"/>
  </sheetData>
  <pageMargins left="0.2" right="0.2" top="0.25" bottom="0.25" header="0" footer="0"/>
  <pageSetup orientation="portrait" r:id="rId1"/>
  <headerFooter>
    <oddHeader>&amp;RAdjustments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"/>
  <sheetViews>
    <sheetView topLeftCell="A61" workbookViewId="0">
      <selection activeCell="C73" sqref="C73"/>
    </sheetView>
  </sheetViews>
  <sheetFormatPr defaultColWidth="8.88671875" defaultRowHeight="18.75"/>
  <cols>
    <col min="1" max="1" width="8.88671875" style="1"/>
    <col min="2" max="2" width="8" style="1" bestFit="1" customWidth="1"/>
    <col min="3" max="3" width="48.77734375" style="1" customWidth="1"/>
    <col min="4" max="4" width="2.33203125" style="1" customWidth="1"/>
    <col min="5" max="5" width="15.21875" style="1" bestFit="1" customWidth="1"/>
    <col min="6" max="6" width="14.88671875" style="1" customWidth="1"/>
    <col min="7" max="7" width="13.5546875" style="1" bestFit="1" customWidth="1"/>
    <col min="8" max="8" width="15.21875" style="1" bestFit="1" customWidth="1"/>
    <col min="9" max="9" width="16.6640625" style="1" bestFit="1" customWidth="1"/>
    <col min="10" max="10" width="15.88671875" style="1" bestFit="1" customWidth="1"/>
    <col min="11" max="11" width="12.77734375" style="1" customWidth="1"/>
    <col min="12" max="13" width="13.5546875" style="1" bestFit="1" customWidth="1"/>
    <col min="14" max="14" width="14.21875" style="1" bestFit="1" customWidth="1"/>
    <col min="15" max="16384" width="8.88671875" style="1"/>
  </cols>
  <sheetData>
    <row r="1" spans="1:10">
      <c r="A1" s="105" t="str">
        <f>'Cost of Service Factors-Exh. I'!A1</f>
        <v>Grant County Public Utility District</v>
      </c>
      <c r="B1" s="101"/>
      <c r="C1" s="101"/>
      <c r="D1" s="101"/>
      <c r="E1" s="101"/>
      <c r="F1" s="101"/>
      <c r="G1" s="101"/>
      <c r="H1" s="101"/>
    </row>
    <row r="2" spans="1:10">
      <c r="A2" s="103" t="s">
        <v>419</v>
      </c>
      <c r="B2" s="101"/>
      <c r="C2" s="101"/>
      <c r="D2" s="101"/>
      <c r="E2" s="101"/>
      <c r="F2" s="101"/>
      <c r="G2" s="101"/>
      <c r="H2" s="101"/>
    </row>
    <row r="3" spans="1:10">
      <c r="I3"/>
    </row>
    <row r="4" spans="1:10">
      <c r="A4" s="12" t="s">
        <v>45</v>
      </c>
      <c r="B4" s="12" t="s">
        <v>332</v>
      </c>
      <c r="C4" s="12"/>
      <c r="D4" s="12"/>
      <c r="E4" s="12" t="s">
        <v>420</v>
      </c>
      <c r="F4" s="12" t="s">
        <v>334</v>
      </c>
      <c r="G4" s="12"/>
      <c r="H4" s="12"/>
      <c r="I4"/>
    </row>
    <row r="5" spans="1:10">
      <c r="A5" s="15" t="s">
        <v>47</v>
      </c>
      <c r="B5" s="15" t="s">
        <v>335</v>
      </c>
      <c r="C5" s="108" t="s">
        <v>48</v>
      </c>
      <c r="D5" s="108"/>
      <c r="E5" s="15" t="s">
        <v>336</v>
      </c>
      <c r="F5" s="15" t="s">
        <v>133</v>
      </c>
      <c r="G5" s="15" t="s">
        <v>106</v>
      </c>
      <c r="H5" s="15" t="s">
        <v>107</v>
      </c>
      <c r="I5"/>
    </row>
    <row r="6" spans="1:10">
      <c r="A6" s="12"/>
      <c r="B6" s="12"/>
      <c r="C6" s="12"/>
      <c r="D6" s="12"/>
      <c r="E6" s="16" t="s">
        <v>110</v>
      </c>
      <c r="F6" s="16" t="s">
        <v>337</v>
      </c>
      <c r="G6" s="16" t="s">
        <v>338</v>
      </c>
      <c r="H6" s="16" t="s">
        <v>339</v>
      </c>
      <c r="I6"/>
    </row>
    <row r="7" spans="1:10">
      <c r="E7" s="12" t="s">
        <v>3</v>
      </c>
      <c r="F7" s="12" t="s">
        <v>3</v>
      </c>
      <c r="G7" s="12" t="s">
        <v>3</v>
      </c>
      <c r="H7" s="12" t="s">
        <v>3</v>
      </c>
      <c r="I7"/>
    </row>
    <row r="8" spans="1:10">
      <c r="C8" s="2" t="s">
        <v>421</v>
      </c>
      <c r="D8" s="2"/>
      <c r="E8" s="3"/>
      <c r="I8"/>
    </row>
    <row r="9" spans="1:10">
      <c r="A9" s="37">
        <f>IF(ISNUMBER(E9),MAX(A$8:A8)+1,"")</f>
        <v>1</v>
      </c>
      <c r="B9" s="12">
        <v>301</v>
      </c>
      <c r="C9" s="1" t="s">
        <v>340</v>
      </c>
      <c r="D9" s="150" t="s">
        <v>87</v>
      </c>
      <c r="E9" s="22">
        <f>'Gross Plant In Service-Exh. V'!E9-'Accumulated Reserves-Exh. VI'!E10</f>
        <v>30373</v>
      </c>
      <c r="F9" s="22">
        <f>'Gross Plant In Service-Exh. V'!F9-'Accumulated Reserves-Exh. VI'!F10</f>
        <v>18993</v>
      </c>
      <c r="G9" s="22">
        <f>'Gross Plant In Service-Exh. V'!G9-'Accumulated Reserves-Exh. VI'!G10</f>
        <v>4496</v>
      </c>
      <c r="H9" s="22">
        <f>'Gross Plant In Service-Exh. V'!H9-'Accumulated Reserves-Exh. VI'!H10</f>
        <v>6884</v>
      </c>
      <c r="I9"/>
      <c r="J9" s="11"/>
    </row>
    <row r="10" spans="1:10">
      <c r="A10" s="37">
        <f>IF(ISNUMBER(E10),MAX(A$8:A9)+1,"")</f>
        <v>2</v>
      </c>
      <c r="B10" s="12">
        <v>302</v>
      </c>
      <c r="C10" s="1" t="s">
        <v>341</v>
      </c>
      <c r="D10" s="150" t="s">
        <v>87</v>
      </c>
      <c r="E10" s="22">
        <f>'Gross Plant In Service-Exh. V'!E10-'Accumulated Reserves-Exh. VI'!E11</f>
        <v>31511410.809999995</v>
      </c>
      <c r="F10" s="22">
        <f>'Gross Plant In Service-Exh. V'!F10-'Accumulated Reserves-Exh. VI'!F11</f>
        <v>0</v>
      </c>
      <c r="G10" s="22">
        <f>'Gross Plant In Service-Exh. V'!G10-'Accumulated Reserves-Exh. VI'!G11</f>
        <v>0</v>
      </c>
      <c r="H10" s="22">
        <f>'Gross Plant In Service-Exh. V'!H10-'Accumulated Reserves-Exh. VI'!H11</f>
        <v>0</v>
      </c>
      <c r="I10"/>
      <c r="J10" s="11"/>
    </row>
    <row r="11" spans="1:10">
      <c r="A11" s="37">
        <f>IF(ISNUMBER(E11),MAX(A$8:A10)+1,"")</f>
        <v>3</v>
      </c>
      <c r="B11" s="12">
        <v>302</v>
      </c>
      <c r="C11" s="1" t="s">
        <v>342</v>
      </c>
      <c r="D11" s="150"/>
      <c r="E11" s="22">
        <f>'Gross Plant In Service-Exh. V'!E11-'Accumulated Reserves-Exh. VI'!E12</f>
        <v>31509522</v>
      </c>
      <c r="F11" s="22">
        <f>'Gross Plant In Service-Exh. V'!F11-'Accumulated Reserves-Exh. VI'!F12</f>
        <v>31509522</v>
      </c>
      <c r="G11" s="22">
        <f>'Gross Plant In Service-Exh. V'!G11-'Accumulated Reserves-Exh. VI'!G12</f>
        <v>0</v>
      </c>
      <c r="H11" s="22">
        <f>'Gross Plant In Service-Exh. V'!H11-'Accumulated Reserves-Exh. VI'!H12</f>
        <v>0</v>
      </c>
      <c r="I11"/>
      <c r="J11" s="11"/>
    </row>
    <row r="12" spans="1:10">
      <c r="A12" s="37">
        <f>IF(ISNUMBER(E12),MAX(A$8:A11)+1,"")</f>
        <v>4</v>
      </c>
      <c r="B12" s="12">
        <v>302</v>
      </c>
      <c r="C12" s="1" t="s">
        <v>343</v>
      </c>
      <c r="D12" s="150"/>
      <c r="E12" s="22">
        <f>'Gross Plant In Service-Exh. V'!E12-'Accumulated Reserves-Exh. VI'!E13</f>
        <v>1888.8099999949336</v>
      </c>
      <c r="F12" s="22">
        <f>'Gross Plant In Service-Exh. V'!F12-'Accumulated Reserves-Exh. VI'!F13</f>
        <v>1181</v>
      </c>
      <c r="G12" s="22">
        <f>'Gross Plant In Service-Exh. V'!G12-'Accumulated Reserves-Exh. VI'!G13</f>
        <v>280</v>
      </c>
      <c r="H12" s="22">
        <f>'Gross Plant In Service-Exh. V'!H12-'Accumulated Reserves-Exh. VI'!H13</f>
        <v>428</v>
      </c>
      <c r="I12" s="81"/>
      <c r="J12" s="11"/>
    </row>
    <row r="13" spans="1:10">
      <c r="A13" s="37">
        <f>IF(ISNUMBER(E13),MAX(A$8:A12)+1,"")</f>
        <v>5</v>
      </c>
      <c r="B13" s="12">
        <v>303</v>
      </c>
      <c r="C13" s="1" t="s">
        <v>344</v>
      </c>
      <c r="D13" s="150" t="s">
        <v>87</v>
      </c>
      <c r="E13" s="22">
        <f>'Gross Plant In Service-Exh. V'!E13-'Accumulated Reserves-Exh. VI'!E14</f>
        <v>89931919.710000008</v>
      </c>
      <c r="F13" s="22">
        <f>'Gross Plant In Service-Exh. V'!F13-'Accumulated Reserves-Exh. VI'!F14</f>
        <v>0</v>
      </c>
      <c r="G13" s="22">
        <f>'Gross Plant In Service-Exh. V'!G13-'Accumulated Reserves-Exh. VI'!G14</f>
        <v>0</v>
      </c>
      <c r="H13" s="22">
        <f>'Gross Plant In Service-Exh. V'!H13-'Accumulated Reserves-Exh. VI'!H14</f>
        <v>0</v>
      </c>
      <c r="I13"/>
      <c r="J13"/>
    </row>
    <row r="14" spans="1:10">
      <c r="A14" s="37">
        <f>IF(ISNUMBER(E14),MAX(A$8:A13)+1,"")</f>
        <v>6</v>
      </c>
      <c r="B14" s="12">
        <v>303</v>
      </c>
      <c r="C14" s="1" t="s">
        <v>422</v>
      </c>
      <c r="E14" s="22">
        <f>'Gross Plant In Service-Exh. V'!E14-'Accumulated Reserves-Exh. VI'!E15</f>
        <v>8000000</v>
      </c>
      <c r="F14" s="22">
        <f>'Gross Plant In Service-Exh. V'!F14-'Accumulated Reserves-Exh. VI'!F15</f>
        <v>8000000</v>
      </c>
      <c r="G14" s="22">
        <f>'Gross Plant In Service-Exh. V'!G14-'Accumulated Reserves-Exh. VI'!G15</f>
        <v>0</v>
      </c>
      <c r="H14" s="22">
        <f>'Gross Plant In Service-Exh. V'!H14-'Accumulated Reserves-Exh. VI'!H15</f>
        <v>0</v>
      </c>
      <c r="I14"/>
      <c r="J14"/>
    </row>
    <row r="15" spans="1:10">
      <c r="A15" s="37">
        <f>IF(ISNUMBER(E15),MAX(A$8:A14)+1,"")</f>
        <v>7</v>
      </c>
      <c r="B15" s="12">
        <v>303</v>
      </c>
      <c r="C15" s="1" t="s">
        <v>346</v>
      </c>
      <c r="E15" s="22">
        <f>'Gross Plant In Service-Exh. V'!E15-'Accumulated Reserves-Exh. VI'!E16</f>
        <v>22608660</v>
      </c>
      <c r="F15" s="22">
        <f>'Gross Plant In Service-Exh. V'!F15-'Accumulated Reserves-Exh. VI'!F16</f>
        <v>22608660</v>
      </c>
      <c r="G15" s="22">
        <f>'Gross Plant In Service-Exh. V'!G15-'Accumulated Reserves-Exh. VI'!G16</f>
        <v>0</v>
      </c>
      <c r="H15" s="22">
        <f>'Gross Plant In Service-Exh. V'!H15-'Accumulated Reserves-Exh. VI'!H16</f>
        <v>0</v>
      </c>
      <c r="I15"/>
      <c r="J15"/>
    </row>
    <row r="16" spans="1:10">
      <c r="A16" s="37">
        <f>IF(ISNUMBER(E16),MAX(A$8:A15)+1,"")</f>
        <v>8</v>
      </c>
      <c r="B16" s="12">
        <v>303</v>
      </c>
      <c r="C16" s="1" t="s">
        <v>347</v>
      </c>
      <c r="E16" s="22">
        <f>'Gross Plant In Service-Exh. V'!E16-'Accumulated Reserves-Exh. VI'!E17</f>
        <v>43599246</v>
      </c>
      <c r="F16" s="22">
        <f>'Gross Plant In Service-Exh. V'!F16-'Accumulated Reserves-Exh. VI'!F17</f>
        <v>43599246</v>
      </c>
      <c r="G16" s="22">
        <f>'Gross Plant In Service-Exh. V'!G16-'Accumulated Reserves-Exh. VI'!G17</f>
        <v>0</v>
      </c>
      <c r="H16" s="22">
        <f>'Gross Plant In Service-Exh. V'!H16-'Accumulated Reserves-Exh. VI'!H17</f>
        <v>0</v>
      </c>
      <c r="I16"/>
      <c r="J16"/>
    </row>
    <row r="17" spans="1:12">
      <c r="A17" s="37">
        <f>IF(ISNUMBER(E17),MAX(A$8:A16)+1,"")</f>
        <v>9</v>
      </c>
      <c r="B17" s="12">
        <v>303</v>
      </c>
      <c r="C17" s="1" t="s">
        <v>348</v>
      </c>
      <c r="E17" s="22">
        <f>'Gross Plant In Service-Exh. V'!E17-'Accumulated Reserves-Exh. VI'!E18</f>
        <v>15724014.030000001</v>
      </c>
      <c r="F17" s="22">
        <f>'Gross Plant In Service-Exh. V'!F17-'Accumulated Reserves-Exh. VI'!F18</f>
        <v>9832601</v>
      </c>
      <c r="G17" s="22">
        <f>'Gross Plant In Service-Exh. V'!G17-'Accumulated Reserves-Exh. VI'!G18</f>
        <v>2327746</v>
      </c>
      <c r="H17" s="22">
        <f>'Gross Plant In Service-Exh. V'!H17-'Accumulated Reserves-Exh. VI'!H18</f>
        <v>3563666</v>
      </c>
      <c r="I17"/>
      <c r="J17"/>
    </row>
    <row r="18" spans="1:12">
      <c r="A18" s="37">
        <f>IF(ISNUMBER(E18),MAX(A$8:A17)+1,"")</f>
        <v>10</v>
      </c>
      <c r="B18" s="12"/>
      <c r="C18" s="109" t="s">
        <v>423</v>
      </c>
      <c r="D18" s="109"/>
      <c r="E18" s="4">
        <f>E9+E10+E13</f>
        <v>121473703.52000001</v>
      </c>
      <c r="F18" s="4">
        <f>SUM(F9:F17)</f>
        <v>115570203</v>
      </c>
      <c r="G18" s="4">
        <f>SUM(G9:G17)</f>
        <v>2332522</v>
      </c>
      <c r="H18" s="4">
        <f>SUM(H9:H17)</f>
        <v>3570978</v>
      </c>
      <c r="I18" s="222">
        <f>SUM(F18:H18)</f>
        <v>121473703</v>
      </c>
      <c r="J18"/>
      <c r="K18" s="110"/>
      <c r="L18" s="110"/>
    </row>
    <row r="19" spans="1:12">
      <c r="A19" s="37" t="str">
        <f>IF(ISNUMBER(E19),MAX(A$8:A18)+1,"")</f>
        <v/>
      </c>
      <c r="B19" s="12"/>
      <c r="I19"/>
    </row>
    <row r="20" spans="1:12">
      <c r="A20" s="37" t="str">
        <f>IF(ISNUMBER(E20),MAX(A$8:A19)+1,"")</f>
        <v/>
      </c>
      <c r="B20" s="12"/>
      <c r="C20" s="2" t="s">
        <v>350</v>
      </c>
      <c r="D20" s="2"/>
      <c r="E20" s="17"/>
      <c r="I20"/>
    </row>
    <row r="21" spans="1:12">
      <c r="A21" s="37">
        <f>IF(ISNUMBER(E21),MAX(A$8:A20)+1,"")</f>
        <v>11</v>
      </c>
      <c r="B21" s="12">
        <v>330</v>
      </c>
      <c r="C21" s="1" t="s">
        <v>351</v>
      </c>
      <c r="E21" s="22">
        <f>'Gross Plant In Service-Exh. V'!E21-'Accumulated Reserves-Exh. VI'!E22</f>
        <v>19685660.300000001</v>
      </c>
      <c r="F21" s="11">
        <f>E21</f>
        <v>19685660.300000001</v>
      </c>
      <c r="I21"/>
    </row>
    <row r="22" spans="1:12">
      <c r="A22" s="37">
        <f>IF(ISNUMBER(E22),MAX(A$8:A21)+1,"")</f>
        <v>12</v>
      </c>
      <c r="B22" s="12">
        <v>331</v>
      </c>
      <c r="C22" s="1" t="s">
        <v>352</v>
      </c>
      <c r="E22" s="22">
        <f>'Gross Plant In Service-Exh. V'!E22-'Accumulated Reserves-Exh. VI'!E23</f>
        <v>119260410.14</v>
      </c>
      <c r="F22" s="11">
        <f t="shared" ref="F22:F29" si="0">E22</f>
        <v>119260410.14</v>
      </c>
      <c r="I22"/>
    </row>
    <row r="23" spans="1:12">
      <c r="A23" s="37">
        <f>IF(ISNUMBER(E23),MAX(A$8:A22)+1,"")</f>
        <v>13</v>
      </c>
      <c r="B23" s="12">
        <v>332</v>
      </c>
      <c r="C23" s="1" t="s">
        <v>353</v>
      </c>
      <c r="E23" s="22">
        <f>'Gross Plant In Service-Exh. V'!E23-'Accumulated Reserves-Exh. VI'!E24</f>
        <v>395973980.56999999</v>
      </c>
      <c r="F23" s="11">
        <f t="shared" si="0"/>
        <v>395973980.56999999</v>
      </c>
      <c r="I23"/>
    </row>
    <row r="24" spans="1:12">
      <c r="A24" s="37">
        <f>IF(ISNUMBER(E24),MAX(A$8:A23)+1,"")</f>
        <v>14</v>
      </c>
      <c r="B24" s="12">
        <v>333</v>
      </c>
      <c r="C24" s="1" t="s">
        <v>354</v>
      </c>
      <c r="E24" s="22">
        <f>'Gross Plant In Service-Exh. V'!E24-'Accumulated Reserves-Exh. VI'!E25</f>
        <v>458649459.54999995</v>
      </c>
      <c r="F24" s="11">
        <f t="shared" si="0"/>
        <v>458649459.54999995</v>
      </c>
      <c r="I24"/>
    </row>
    <row r="25" spans="1:12">
      <c r="A25" s="37">
        <f>IF(ISNUMBER(E25),MAX(A$8:A24)+1,"")</f>
        <v>15</v>
      </c>
      <c r="B25" s="12">
        <v>334</v>
      </c>
      <c r="C25" s="1" t="s">
        <v>355</v>
      </c>
      <c r="E25" s="22">
        <f>'Gross Plant In Service-Exh. V'!E25-'Accumulated Reserves-Exh. VI'!E26</f>
        <v>31297965.800000004</v>
      </c>
      <c r="F25" s="11">
        <f t="shared" si="0"/>
        <v>31297965.800000004</v>
      </c>
      <c r="I25"/>
    </row>
    <row r="26" spans="1:12">
      <c r="A26" s="37">
        <f>IF(ISNUMBER(E26),MAX(A$8:A25)+1,"")</f>
        <v>16</v>
      </c>
      <c r="B26" s="12">
        <v>335</v>
      </c>
      <c r="C26" s="1" t="s">
        <v>356</v>
      </c>
      <c r="E26" s="22">
        <f>'Gross Plant In Service-Exh. V'!E26-'Accumulated Reserves-Exh. VI'!E27</f>
        <v>30872092.780000005</v>
      </c>
      <c r="F26" s="11">
        <f t="shared" si="0"/>
        <v>30872092.780000005</v>
      </c>
      <c r="I26"/>
    </row>
    <row r="27" spans="1:12">
      <c r="A27" s="37">
        <f>IF(ISNUMBER(E27),MAX(A$8:A26)+1,"")</f>
        <v>17</v>
      </c>
      <c r="B27" s="12">
        <v>336</v>
      </c>
      <c r="C27" s="1" t="s">
        <v>357</v>
      </c>
      <c r="E27" s="22">
        <f>'Gross Plant In Service-Exh. V'!E27-'Accumulated Reserves-Exh. VI'!E28</f>
        <v>745255.47</v>
      </c>
      <c r="F27" s="11">
        <f t="shared" si="0"/>
        <v>745255.47</v>
      </c>
      <c r="I27"/>
    </row>
    <row r="28" spans="1:12">
      <c r="A28" s="37">
        <f>IF(ISNUMBER(E28),MAX(A$8:A27)+1,"")</f>
        <v>18</v>
      </c>
      <c r="B28" s="12"/>
      <c r="C28" s="1" t="s">
        <v>358</v>
      </c>
      <c r="E28" s="22">
        <f>'Gross Plant In Service-Exh. V'!E28-'Accumulated Reserves-Exh. VI'!E29</f>
        <v>33383814</v>
      </c>
      <c r="F28" s="11">
        <f t="shared" si="0"/>
        <v>33383814</v>
      </c>
      <c r="I28"/>
    </row>
    <row r="29" spans="1:12">
      <c r="A29" s="37">
        <f>IF(ISNUMBER(E29),MAX(A$8:A28)+1,"")</f>
        <v>19</v>
      </c>
      <c r="B29" s="12"/>
      <c r="C29" s="1" t="s">
        <v>359</v>
      </c>
      <c r="E29" s="22">
        <f>'Gross Plant In Service-Exh. V'!E29-'Accumulated Reserves-Exh. VI'!E30</f>
        <v>12375000</v>
      </c>
      <c r="F29" s="11">
        <f t="shared" si="0"/>
        <v>12375000</v>
      </c>
      <c r="I29"/>
    </row>
    <row r="30" spans="1:12">
      <c r="A30" s="37">
        <f>IF(ISNUMBER(E30),MAX(A$8:A29)+1,"")</f>
        <v>20</v>
      </c>
      <c r="B30" s="12"/>
      <c r="C30" s="1" t="s">
        <v>360</v>
      </c>
      <c r="E30" s="22">
        <f>'Gross Plant In Service-Exh. V'!E30-'Accumulated Reserves-Exh. VI'!E31</f>
        <v>153431128</v>
      </c>
      <c r="F30" s="11">
        <f t="shared" ref="F30" si="1">E30</f>
        <v>153431128</v>
      </c>
      <c r="I30"/>
    </row>
    <row r="31" spans="1:12">
      <c r="A31" s="37">
        <f>IF(ISNUMBER(E31),MAX(A$8:A30)+1,"")</f>
        <v>21</v>
      </c>
      <c r="B31" s="12"/>
      <c r="C31" s="1" t="s">
        <v>361</v>
      </c>
      <c r="E31" s="22">
        <f>'Gross Plant In Service-Exh. V'!E31-'Accumulated Reserves-Exh. VI'!E32</f>
        <v>179098</v>
      </c>
      <c r="F31" s="11">
        <f t="shared" ref="F31" si="2">E31</f>
        <v>179098</v>
      </c>
      <c r="I31"/>
    </row>
    <row r="32" spans="1:12">
      <c r="A32" s="37">
        <f>IF(ISNUMBER(E32),MAX(A$8:A31)+1,"")</f>
        <v>22</v>
      </c>
      <c r="B32" s="12"/>
      <c r="C32" s="1" t="s">
        <v>362</v>
      </c>
      <c r="E32" s="22">
        <f>'Gross Plant In Service-Exh. V'!E32-'Accumulated Reserves-Exh. VI'!E33</f>
        <v>1009733</v>
      </c>
      <c r="F32" s="11">
        <f t="shared" ref="F32" si="3">E32</f>
        <v>1009733</v>
      </c>
      <c r="I32"/>
    </row>
    <row r="33" spans="1:9">
      <c r="A33" s="37">
        <f>IF(ISNUMBER(E33),MAX(A$8:A32)+1,"")</f>
        <v>23</v>
      </c>
      <c r="B33" s="12"/>
      <c r="C33" s="109" t="s">
        <v>424</v>
      </c>
      <c r="D33" s="109"/>
      <c r="E33" s="20">
        <f>SUM(E21:E32)</f>
        <v>1256863597.6099999</v>
      </c>
      <c r="F33" s="20">
        <f>SUM(F21:F32)</f>
        <v>1256863597.6099999</v>
      </c>
      <c r="I33"/>
    </row>
    <row r="34" spans="1:9">
      <c r="A34" s="37" t="str">
        <f>IF(ISNUMBER(E34),MAX(A$8:A33)+1,"")</f>
        <v/>
      </c>
      <c r="B34" s="12"/>
      <c r="C34" s="2" t="s">
        <v>364</v>
      </c>
      <c r="D34" s="2"/>
      <c r="E34" s="11"/>
      <c r="F34" s="11"/>
      <c r="I34"/>
    </row>
    <row r="35" spans="1:9">
      <c r="A35" s="37">
        <f>IF(ISNUMBER(E35),MAX(A$8:A34)+1,"")</f>
        <v>24</v>
      </c>
      <c r="B35" s="12">
        <v>346</v>
      </c>
      <c r="C35" s="1" t="s">
        <v>356</v>
      </c>
      <c r="E35" s="18">
        <f>'Gross Plant In Service-Exh. V'!E35-'Accumulated Reserves-Exh. VI'!E37</f>
        <v>8896.7199999999975</v>
      </c>
      <c r="F35" s="19">
        <f>E35</f>
        <v>8896.7199999999975</v>
      </c>
      <c r="I35"/>
    </row>
    <row r="36" spans="1:9">
      <c r="A36" s="37">
        <f>IF(ISNUMBER(E36),MAX(A$8:A35)+1,"")</f>
        <v>25</v>
      </c>
      <c r="B36" s="12"/>
      <c r="C36" s="109" t="s">
        <v>425</v>
      </c>
      <c r="D36" s="109"/>
      <c r="E36" s="20">
        <f>SUM(E35:E35)</f>
        <v>8896.7199999999975</v>
      </c>
      <c r="F36" s="20">
        <f>SUM(F35:F35)</f>
        <v>8896.7199999999975</v>
      </c>
      <c r="I36"/>
    </row>
    <row r="37" spans="1:9">
      <c r="A37" s="37" t="str">
        <f>IF(ISNUMBER(E37),MAX(A$8:A36)+1,"")</f>
        <v/>
      </c>
      <c r="B37" s="12"/>
      <c r="F37" s="11"/>
      <c r="I37"/>
    </row>
    <row r="38" spans="1:9">
      <c r="A38" s="37" t="str">
        <f>IF(ISNUMBER(E38),MAX(A$8:A37)+1,"")</f>
        <v/>
      </c>
      <c r="B38" s="12"/>
      <c r="C38" s="2" t="s">
        <v>426</v>
      </c>
      <c r="D38" s="2"/>
      <c r="E38" s="21"/>
      <c r="F38" s="11"/>
      <c r="I38"/>
    </row>
    <row r="39" spans="1:9">
      <c r="A39" s="37">
        <f>IF(ISNUMBER(E39),MAX(A$8:A38)+1,"")</f>
        <v>26</v>
      </c>
      <c r="B39" s="12">
        <v>350</v>
      </c>
      <c r="C39" s="1" t="s">
        <v>351</v>
      </c>
      <c r="E39" s="22">
        <f>'Gross Plant In Service-Exh. V'!E39-'Accumulated Reserves-Exh. VI'!E41</f>
        <v>2002732.0499999998</v>
      </c>
      <c r="F39" s="11"/>
      <c r="G39" s="11">
        <f>E39</f>
        <v>2002732.0499999998</v>
      </c>
      <c r="I39"/>
    </row>
    <row r="40" spans="1:9">
      <c r="A40" s="37">
        <f>IF(ISNUMBER(E40),MAX(A$8:A39)+1,"")</f>
        <v>27</v>
      </c>
      <c r="B40" s="12">
        <v>352</v>
      </c>
      <c r="C40" s="1" t="s">
        <v>352</v>
      </c>
      <c r="E40" s="22">
        <f>'Gross Plant In Service-Exh. V'!E40-'Accumulated Reserves-Exh. VI'!E42</f>
        <v>2656688.09</v>
      </c>
      <c r="F40" s="11"/>
      <c r="G40" s="110">
        <f t="shared" ref="G40:G46" si="4">E40</f>
        <v>2656688.09</v>
      </c>
      <c r="I40"/>
    </row>
    <row r="41" spans="1:9">
      <c r="A41" s="37">
        <f>IF(ISNUMBER(E41),MAX(A$8:A40)+1,"")</f>
        <v>28</v>
      </c>
      <c r="B41" s="12">
        <v>353</v>
      </c>
      <c r="C41" s="1" t="s">
        <v>367</v>
      </c>
      <c r="E41" s="22">
        <f>'Gross Plant In Service-Exh. V'!E41-'Accumulated Reserves-Exh. VI'!E43</f>
        <v>44022666.719999999</v>
      </c>
      <c r="F41" s="11"/>
      <c r="G41" s="110">
        <f t="shared" si="4"/>
        <v>44022666.719999999</v>
      </c>
      <c r="I41"/>
    </row>
    <row r="42" spans="1:9">
      <c r="A42" s="37">
        <f>IF(ISNUMBER(E42),MAX(A$8:A41)+1,"")</f>
        <v>29</v>
      </c>
      <c r="B42" s="12">
        <v>354</v>
      </c>
      <c r="C42" s="1" t="s">
        <v>368</v>
      </c>
      <c r="E42" s="22">
        <f>'Gross Plant In Service-Exh. V'!E42-'Accumulated Reserves-Exh. VI'!E44</f>
        <v>4071918.0100000007</v>
      </c>
      <c r="F42" s="11"/>
      <c r="G42" s="110">
        <f t="shared" si="4"/>
        <v>4071918.0100000007</v>
      </c>
      <c r="I42"/>
    </row>
    <row r="43" spans="1:9">
      <c r="A43" s="37">
        <f>IF(ISNUMBER(E43),MAX(A$8:A42)+1,"")</f>
        <v>30</v>
      </c>
      <c r="B43" s="12">
        <v>355</v>
      </c>
      <c r="C43" s="1" t="s">
        <v>369</v>
      </c>
      <c r="E43" s="22">
        <f>'Gross Plant In Service-Exh. V'!E43-'Accumulated Reserves-Exh. VI'!E45</f>
        <v>53738918.700000003</v>
      </c>
      <c r="F43" s="11"/>
      <c r="G43" s="110">
        <f t="shared" si="4"/>
        <v>53738918.700000003</v>
      </c>
      <c r="I43"/>
    </row>
    <row r="44" spans="1:9">
      <c r="A44" s="37">
        <f>IF(ISNUMBER(E44),MAX(A$8:A43)+1,"")</f>
        <v>31</v>
      </c>
      <c r="B44" s="12">
        <v>356</v>
      </c>
      <c r="C44" s="1" t="s">
        <v>370</v>
      </c>
      <c r="E44" s="22">
        <f>'Gross Plant In Service-Exh. V'!E44-'Accumulated Reserves-Exh. VI'!E46</f>
        <v>43039518.390000001</v>
      </c>
      <c r="F44" s="11"/>
      <c r="G44" s="110">
        <f t="shared" si="4"/>
        <v>43039518.390000001</v>
      </c>
      <c r="I44"/>
    </row>
    <row r="45" spans="1:9">
      <c r="A45" s="37">
        <f>IF(ISNUMBER(E45),MAX(A$8:A44)+1,"")</f>
        <v>32</v>
      </c>
      <c r="B45" s="12">
        <v>359</v>
      </c>
      <c r="C45" s="1" t="s">
        <v>371</v>
      </c>
      <c r="E45" s="22">
        <f>'Gross Plant In Service-Exh. V'!E45-'Accumulated Reserves-Exh. VI'!E47</f>
        <v>24309.170000000013</v>
      </c>
      <c r="F45" s="11"/>
      <c r="G45" s="110">
        <f t="shared" si="4"/>
        <v>24309.170000000013</v>
      </c>
      <c r="I45"/>
    </row>
    <row r="46" spans="1:9">
      <c r="A46" s="37">
        <f>IF(ISNUMBER(E46),MAX(A$8:A45)+1,"")</f>
        <v>33</v>
      </c>
      <c r="B46" s="12"/>
      <c r="C46" s="1" t="s">
        <v>358</v>
      </c>
      <c r="E46" s="22">
        <f>'Gross Plant In Service-Exh. V'!E46-'Accumulated Reserves-Exh. VI'!E48</f>
        <v>-33383814</v>
      </c>
      <c r="F46" s="11"/>
      <c r="G46" s="110">
        <f t="shared" si="4"/>
        <v>-33383814</v>
      </c>
      <c r="I46"/>
    </row>
    <row r="47" spans="1:9">
      <c r="A47" s="37">
        <f>IF(ISNUMBER(E47),MAX(A$8:A46)+1,"")</f>
        <v>34</v>
      </c>
      <c r="B47" s="12"/>
      <c r="C47" s="1" t="s">
        <v>359</v>
      </c>
      <c r="E47" s="22">
        <f>'Gross Plant In Service-Exh. V'!E47-'Accumulated Reserves-Exh. VI'!E49</f>
        <v>-12375000</v>
      </c>
      <c r="F47" s="11"/>
      <c r="G47" s="110">
        <f>E47</f>
        <v>-12375000</v>
      </c>
      <c r="I47"/>
    </row>
    <row r="48" spans="1:9">
      <c r="A48" s="37">
        <f>IF(ISNUMBER(E48),MAX(A$8:A47)+1,"")</f>
        <v>35</v>
      </c>
      <c r="B48" s="12"/>
      <c r="C48" s="109" t="s">
        <v>427</v>
      </c>
      <c r="D48" s="109"/>
      <c r="E48" s="20">
        <f>SUM(E39:E47)</f>
        <v>103797937.12999997</v>
      </c>
      <c r="F48" s="11"/>
      <c r="G48" s="20">
        <f>SUM(G39:G47)</f>
        <v>103797937.12999997</v>
      </c>
      <c r="I48"/>
    </row>
    <row r="49" spans="1:13">
      <c r="A49" s="37" t="str">
        <f>IF(ISNUMBER(E49),MAX(A$8:A48)+1,"")</f>
        <v/>
      </c>
      <c r="B49" s="12"/>
      <c r="E49" s="21"/>
      <c r="F49" s="11"/>
      <c r="I49"/>
    </row>
    <row r="50" spans="1:13">
      <c r="A50" s="37" t="str">
        <f>IF(ISNUMBER(E50),MAX(A$8:A49)+1,"")</f>
        <v/>
      </c>
      <c r="B50" s="12"/>
      <c r="C50" s="2" t="s">
        <v>428</v>
      </c>
      <c r="D50" s="2"/>
      <c r="E50" s="21"/>
      <c r="F50" s="11"/>
      <c r="I50"/>
    </row>
    <row r="51" spans="1:13">
      <c r="A51" s="37">
        <f>IF(ISNUMBER(E51),MAX(A$8:A50)+1,"")</f>
        <v>36</v>
      </c>
      <c r="B51" s="12">
        <v>360</v>
      </c>
      <c r="C51" s="1" t="s">
        <v>351</v>
      </c>
      <c r="E51" s="22">
        <f>'Gross Plant In Service-Exh. V'!E51-'Accumulated Reserves-Exh. VI'!E54</f>
        <v>853208.64</v>
      </c>
      <c r="F51" s="11"/>
      <c r="H51" s="110">
        <f>E51</f>
        <v>853208.64</v>
      </c>
      <c r="I51"/>
      <c r="L51" s="110"/>
    </row>
    <row r="52" spans="1:13">
      <c r="A52" s="37">
        <f>IF(ISNUMBER(E52),MAX(A$8:A51)+1,"")</f>
        <v>37</v>
      </c>
      <c r="B52" s="12">
        <v>361</v>
      </c>
      <c r="C52" s="1" t="s">
        <v>352</v>
      </c>
      <c r="E52" s="22">
        <f>'Gross Plant In Service-Exh. V'!E52-'Accumulated Reserves-Exh. VI'!E55</f>
        <v>219346.52999999991</v>
      </c>
      <c r="F52" s="11"/>
      <c r="H52" s="110">
        <f t="shared" ref="H52:H61" si="5">E52</f>
        <v>219346.52999999991</v>
      </c>
      <c r="I52"/>
      <c r="L52" s="110"/>
      <c r="M52"/>
    </row>
    <row r="53" spans="1:13">
      <c r="A53" s="37">
        <f>IF(ISNUMBER(E53),MAX(A$8:A52)+1,"")</f>
        <v>38</v>
      </c>
      <c r="B53" s="12">
        <v>362</v>
      </c>
      <c r="C53" s="1" t="s">
        <v>374</v>
      </c>
      <c r="E53" s="22">
        <f>'Gross Plant In Service-Exh. V'!E53-'Accumulated Reserves-Exh. VI'!E56</f>
        <v>108898513.93000004</v>
      </c>
      <c r="F53" s="11"/>
      <c r="H53" s="110">
        <f t="shared" si="5"/>
        <v>108898513.93000004</v>
      </c>
      <c r="I53"/>
    </row>
    <row r="54" spans="1:13">
      <c r="A54" s="37">
        <f>IF(ISNUMBER(E54),MAX(A$8:A53)+1,"")</f>
        <v>39</v>
      </c>
      <c r="B54" s="12">
        <v>364</v>
      </c>
      <c r="C54" s="1" t="s">
        <v>414</v>
      </c>
      <c r="E54" s="22">
        <f>'Gross Plant In Service-Exh. V'!E54-'Accumulated Reserves-Exh. VI'!E57</f>
        <v>33926803.199999884</v>
      </c>
      <c r="F54" s="11"/>
      <c r="H54" s="110">
        <f t="shared" si="5"/>
        <v>33926803.199999884</v>
      </c>
      <c r="I54"/>
    </row>
    <row r="55" spans="1:13">
      <c r="A55" s="37">
        <f>IF(ISNUMBER(E55),MAX(A$8:A54)+1,"")</f>
        <v>40</v>
      </c>
      <c r="B55" s="12">
        <v>365</v>
      </c>
      <c r="C55" s="1" t="s">
        <v>370</v>
      </c>
      <c r="E55" s="22">
        <f>'Gross Plant In Service-Exh. V'!E55-'Accumulated Reserves-Exh. VI'!E58</f>
        <v>52432731.609999932</v>
      </c>
      <c r="F55" s="11"/>
      <c r="H55" s="110">
        <f t="shared" si="5"/>
        <v>52432731.609999932</v>
      </c>
      <c r="I55"/>
    </row>
    <row r="56" spans="1:13">
      <c r="A56" s="37">
        <f>IF(ISNUMBER(E56),MAX(A$8:A55)+1,"")</f>
        <v>41</v>
      </c>
      <c r="B56" s="12">
        <v>366</v>
      </c>
      <c r="C56" s="1" t="s">
        <v>376</v>
      </c>
      <c r="E56" s="22">
        <f>'Gross Plant In Service-Exh. V'!E56-'Accumulated Reserves-Exh. VI'!E59</f>
        <v>17001501.520000003</v>
      </c>
      <c r="F56" s="11"/>
      <c r="H56" s="110">
        <f t="shared" si="5"/>
        <v>17001501.520000003</v>
      </c>
      <c r="I56"/>
    </row>
    <row r="57" spans="1:13">
      <c r="A57" s="37">
        <f>IF(ISNUMBER(E57),MAX(A$8:A56)+1,"")</f>
        <v>42</v>
      </c>
      <c r="B57" s="12">
        <v>367</v>
      </c>
      <c r="C57" s="1" t="s">
        <v>377</v>
      </c>
      <c r="E57" s="22">
        <f>'Gross Plant In Service-Exh. V'!E57-'Accumulated Reserves-Exh. VI'!E60</f>
        <v>60753674.779999949</v>
      </c>
      <c r="F57" s="11"/>
      <c r="H57" s="110">
        <f t="shared" si="5"/>
        <v>60753674.779999949</v>
      </c>
      <c r="I57"/>
    </row>
    <row r="58" spans="1:13">
      <c r="A58" s="37">
        <f>IF(ISNUMBER(E58),MAX(A$8:A57)+1,"")</f>
        <v>43</v>
      </c>
      <c r="B58" s="12">
        <v>368</v>
      </c>
      <c r="C58" s="1" t="s">
        <v>378</v>
      </c>
      <c r="E58" s="22">
        <f>'Gross Plant In Service-Exh. V'!E58-'Accumulated Reserves-Exh. VI'!E61</f>
        <v>18655744.880000003</v>
      </c>
      <c r="F58" s="11"/>
      <c r="H58" s="110">
        <f t="shared" si="5"/>
        <v>18655744.880000003</v>
      </c>
      <c r="I58"/>
    </row>
    <row r="59" spans="1:13">
      <c r="A59" s="37">
        <f>IF(ISNUMBER(E59),MAX(A$8:A58)+1,"")</f>
        <v>44</v>
      </c>
      <c r="B59" s="12">
        <v>369</v>
      </c>
      <c r="C59" s="1" t="s">
        <v>379</v>
      </c>
      <c r="E59" s="22">
        <f>'Gross Plant In Service-Exh. V'!E59-'Accumulated Reserves-Exh. VI'!E62</f>
        <v>3137154.9200000092</v>
      </c>
      <c r="F59" s="11"/>
      <c r="H59" s="110">
        <f t="shared" si="5"/>
        <v>3137154.9200000092</v>
      </c>
      <c r="I59"/>
    </row>
    <row r="60" spans="1:13">
      <c r="A60" s="37">
        <f>IF(ISNUMBER(E60),MAX(A$8:A59)+1,"")</f>
        <v>45</v>
      </c>
      <c r="B60" s="12">
        <v>370</v>
      </c>
      <c r="C60" s="1" t="s">
        <v>380</v>
      </c>
      <c r="E60" s="22">
        <f>'Gross Plant In Service-Exh. V'!E60-'Accumulated Reserves-Exh. VI'!E63</f>
        <v>11049004.909999993</v>
      </c>
      <c r="F60" s="11"/>
      <c r="H60" s="110">
        <f t="shared" si="5"/>
        <v>11049004.909999993</v>
      </c>
      <c r="I60"/>
    </row>
    <row r="61" spans="1:13">
      <c r="A61" s="37">
        <f>IF(ISNUMBER(E61),MAX(A$8:A60)+1,"")</f>
        <v>46</v>
      </c>
      <c r="B61" s="12">
        <v>373</v>
      </c>
      <c r="C61" s="1" t="s">
        <v>381</v>
      </c>
      <c r="E61" s="22">
        <f>'Gross Plant In Service-Exh. V'!E61-'Accumulated Reserves-Exh. VI'!E64</f>
        <v>1626596.8899999987</v>
      </c>
      <c r="F61" s="11"/>
      <c r="H61" s="110">
        <f t="shared" si="5"/>
        <v>1626596.8899999987</v>
      </c>
      <c r="I61"/>
    </row>
    <row r="62" spans="1:13">
      <c r="A62" s="37" t="str">
        <f>IF(ISNUMBER(E62),MAX(A$8:A61)+1,"")</f>
        <v/>
      </c>
      <c r="B62" s="12"/>
      <c r="E62" s="21"/>
      <c r="F62" s="11"/>
      <c r="I62"/>
    </row>
    <row r="63" spans="1:13">
      <c r="A63" s="37">
        <f>IF(ISNUMBER(E63),MAX(A$8:A62)+1,"")</f>
        <v>47</v>
      </c>
      <c r="B63" s="12"/>
      <c r="C63" s="109" t="s">
        <v>429</v>
      </c>
      <c r="D63" s="109"/>
      <c r="E63" s="20">
        <f>SUM(E51:E61)</f>
        <v>308554281.80999976</v>
      </c>
      <c r="F63" s="11"/>
      <c r="H63" s="4">
        <f>SUM(H51:H61)</f>
        <v>308554281.80999976</v>
      </c>
      <c r="I63"/>
    </row>
    <row r="64" spans="1:13">
      <c r="A64" s="37" t="str">
        <f>IF(ISNUMBER(E64),MAX(A$8:A63)+1,"")</f>
        <v/>
      </c>
      <c r="B64" s="12"/>
      <c r="F64" s="11"/>
      <c r="I64"/>
    </row>
    <row r="65" spans="1:14">
      <c r="A65" s="37" t="str">
        <f>IF(ISNUMBER(E65),MAX(A$8:A64)+1,"")</f>
        <v/>
      </c>
      <c r="B65" s="12"/>
      <c r="C65" s="2" t="s">
        <v>430</v>
      </c>
      <c r="D65" s="2"/>
      <c r="E65" s="21"/>
      <c r="F65" s="11"/>
      <c r="I65"/>
    </row>
    <row r="66" spans="1:14">
      <c r="A66" s="37">
        <f>IF(ISNUMBER(E66),MAX(A$8:A65)+1,"")</f>
        <v>48</v>
      </c>
      <c r="B66" s="12">
        <v>389</v>
      </c>
      <c r="C66" s="1" t="s">
        <v>351</v>
      </c>
      <c r="D66" s="150" t="s">
        <v>87</v>
      </c>
      <c r="E66" s="18">
        <f>'Gross Plant In Service-Exh. V'!E66-'Accumulated Reserves-Exh. VI'!E69</f>
        <v>2377715.5</v>
      </c>
      <c r="F66" s="11">
        <f t="shared" ref="F66:F79" si="6">ROUND(E66*$H$98,0)</f>
        <v>1486842</v>
      </c>
      <c r="G66" s="11">
        <f t="shared" ref="G66:G77" si="7">ROUND(E66*$G$96,0)</f>
        <v>351991</v>
      </c>
      <c r="H66" s="11">
        <f t="shared" ref="H66:H77" si="8">ROUND(E66*$G$97,0)</f>
        <v>538882</v>
      </c>
      <c r="I66"/>
      <c r="J66" s="110"/>
    </row>
    <row r="67" spans="1:14">
      <c r="A67" s="37">
        <f>IF(ISNUMBER(E67),MAX(A$8:A66)+1,"")</f>
        <v>49</v>
      </c>
      <c r="B67" s="12">
        <v>390</v>
      </c>
      <c r="C67" s="1" t="s">
        <v>352</v>
      </c>
      <c r="D67" s="150" t="s">
        <v>87</v>
      </c>
      <c r="E67" s="18">
        <f>'Gross Plant In Service-Exh. V'!E67-'Accumulated Reserves-Exh. VI'!E70</f>
        <v>192567158.63999999</v>
      </c>
      <c r="F67" s="11">
        <f t="shared" si="6"/>
        <v>120416844</v>
      </c>
      <c r="G67" s="11">
        <f t="shared" si="7"/>
        <v>28507189</v>
      </c>
      <c r="H67" s="11">
        <f t="shared" si="8"/>
        <v>43643126</v>
      </c>
      <c r="I67"/>
      <c r="J67" s="110"/>
    </row>
    <row r="68" spans="1:14">
      <c r="A68" s="37">
        <f>IF(ISNUMBER(E68),MAX(A$8:A67)+1,"")</f>
        <v>50</v>
      </c>
      <c r="B68" s="12">
        <v>391</v>
      </c>
      <c r="C68" s="1" t="s">
        <v>384</v>
      </c>
      <c r="D68" s="150" t="s">
        <v>87</v>
      </c>
      <c r="E68" s="18">
        <f>'Gross Plant In Service-Exh. V'!E68-'Accumulated Reserves-Exh. VI'!E71</f>
        <v>242893.80999999493</v>
      </c>
      <c r="F68" s="11">
        <f t="shared" si="6"/>
        <v>151887</v>
      </c>
      <c r="G68" s="11">
        <f t="shared" si="7"/>
        <v>35957</v>
      </c>
      <c r="H68" s="11">
        <f t="shared" si="8"/>
        <v>55049</v>
      </c>
      <c r="I68"/>
      <c r="J68" s="110"/>
    </row>
    <row r="69" spans="1:14">
      <c r="A69" s="37">
        <f>IF(ISNUMBER(E69),MAX(A$8:A68)+1,"")</f>
        <v>51</v>
      </c>
      <c r="B69" s="12">
        <v>392</v>
      </c>
      <c r="C69" s="1" t="s">
        <v>385</v>
      </c>
      <c r="D69" s="150" t="s">
        <v>87</v>
      </c>
      <c r="E69" s="18">
        <f>'Gross Plant In Service-Exh. V'!E69-'Accumulated Reserves-Exh. VI'!E72</f>
        <v>2149909.3199999705</v>
      </c>
      <c r="F69" s="11">
        <f t="shared" si="6"/>
        <v>1344390</v>
      </c>
      <c r="G69" s="11">
        <f t="shared" si="7"/>
        <v>318268</v>
      </c>
      <c r="H69" s="11">
        <f t="shared" si="8"/>
        <v>487252</v>
      </c>
      <c r="I69"/>
      <c r="J69" s="110"/>
    </row>
    <row r="70" spans="1:14">
      <c r="A70" s="37">
        <f>IF(ISNUMBER(E70),MAX(A$8:A69)+1,"")</f>
        <v>52</v>
      </c>
      <c r="B70" s="12">
        <v>393</v>
      </c>
      <c r="C70" s="1" t="s">
        <v>386</v>
      </c>
      <c r="E70" s="18">
        <f>'Gross Plant In Service-Exh. V'!E70-'Accumulated Reserves-Exh. VI'!E73</f>
        <v>0</v>
      </c>
      <c r="F70" s="11">
        <f t="shared" si="6"/>
        <v>0</v>
      </c>
      <c r="G70" s="11">
        <f t="shared" si="7"/>
        <v>0</v>
      </c>
      <c r="H70" s="11">
        <f t="shared" si="8"/>
        <v>0</v>
      </c>
      <c r="I70"/>
      <c r="J70" s="110"/>
    </row>
    <row r="71" spans="1:14">
      <c r="A71" s="37">
        <f>IF(ISNUMBER(E71),MAX(A$8:A70)+1,"")</f>
        <v>53</v>
      </c>
      <c r="B71" s="12">
        <v>394</v>
      </c>
      <c r="C71" s="1" t="s">
        <v>387</v>
      </c>
      <c r="D71" s="150" t="s">
        <v>87</v>
      </c>
      <c r="E71" s="18">
        <f>'Gross Plant In Service-Exh. V'!E71-'Accumulated Reserves-Exh. VI'!E74</f>
        <v>4629537.6400000006</v>
      </c>
      <c r="F71" s="11">
        <f t="shared" si="6"/>
        <v>2894960</v>
      </c>
      <c r="G71" s="11">
        <f t="shared" si="7"/>
        <v>685346</v>
      </c>
      <c r="H71" s="11">
        <f t="shared" si="8"/>
        <v>1049231</v>
      </c>
      <c r="I71"/>
      <c r="J71" s="110"/>
    </row>
    <row r="72" spans="1:14">
      <c r="A72" s="37">
        <f>IF(ISNUMBER(E72),MAX(A$8:A71)+1,"")</f>
        <v>54</v>
      </c>
      <c r="B72" s="12">
        <v>395</v>
      </c>
      <c r="C72" s="1" t="s">
        <v>388</v>
      </c>
      <c r="E72" s="18">
        <f>'Gross Plant In Service-Exh. V'!E72-'Accumulated Reserves-Exh. VI'!E75</f>
        <v>0</v>
      </c>
      <c r="F72" s="11">
        <f t="shared" si="6"/>
        <v>0</v>
      </c>
      <c r="G72" s="11">
        <f t="shared" si="7"/>
        <v>0</v>
      </c>
      <c r="H72" s="11">
        <f t="shared" si="8"/>
        <v>0</v>
      </c>
      <c r="I72"/>
      <c r="J72" s="110"/>
    </row>
    <row r="73" spans="1:14">
      <c r="A73" s="37">
        <f>IF(ISNUMBER(E73),MAX(A$8:A72)+1,"")</f>
        <v>55</v>
      </c>
      <c r="B73" s="12">
        <v>396</v>
      </c>
      <c r="C73" s="284" t="s">
        <v>431</v>
      </c>
      <c r="E73" s="18">
        <f>'Gross Plant In Service-Exh. V'!E73-'Accumulated Reserves-Exh. VI'!E76</f>
        <v>0</v>
      </c>
      <c r="F73" s="11">
        <f t="shared" si="6"/>
        <v>0</v>
      </c>
      <c r="G73" s="11">
        <f t="shared" si="7"/>
        <v>0</v>
      </c>
      <c r="H73" s="11">
        <f t="shared" si="8"/>
        <v>0</v>
      </c>
      <c r="I73"/>
      <c r="J73" s="110"/>
    </row>
    <row r="74" spans="1:14">
      <c r="A74" s="37">
        <f>IF(ISNUMBER(E74),MAX(A$8:A73)+1,"")</f>
        <v>56</v>
      </c>
      <c r="B74" s="12">
        <v>397</v>
      </c>
      <c r="C74" s="1" t="s">
        <v>390</v>
      </c>
      <c r="D74" s="150" t="s">
        <v>87</v>
      </c>
      <c r="E74" s="18">
        <f>'Gross Plant In Service-Exh. V'!E74-'Accumulated Reserves-Exh. VI'!E77</f>
        <v>93621863.389999837</v>
      </c>
      <c r="F74" s="11">
        <f t="shared" si="6"/>
        <v>58543987</v>
      </c>
      <c r="G74" s="11">
        <f t="shared" si="7"/>
        <v>13859560</v>
      </c>
      <c r="H74" s="11">
        <f t="shared" si="8"/>
        <v>21218316</v>
      </c>
      <c r="I74"/>
      <c r="J74" s="110"/>
    </row>
    <row r="75" spans="1:14">
      <c r="A75" s="37">
        <f>IF(ISNUMBER(E75),MAX(A$8:A74)+1,"")</f>
        <v>57</v>
      </c>
      <c r="B75" s="12">
        <v>398</v>
      </c>
      <c r="C75" s="1" t="s">
        <v>391</v>
      </c>
      <c r="D75" s="150" t="s">
        <v>87</v>
      </c>
      <c r="E75" s="18">
        <f>'Gross Plant In Service-Exh. V'!E75-'Accumulated Reserves-Exh. VI'!E78</f>
        <v>1321465.5899999999</v>
      </c>
      <c r="F75" s="11">
        <f t="shared" si="6"/>
        <v>826344</v>
      </c>
      <c r="G75" s="11">
        <f t="shared" si="7"/>
        <v>195627</v>
      </c>
      <c r="H75" s="11">
        <f t="shared" si="8"/>
        <v>299495</v>
      </c>
      <c r="I75"/>
      <c r="J75" s="110"/>
    </row>
    <row r="76" spans="1:14">
      <c r="A76" s="37">
        <f>IF(ISNUMBER(E76),MAX(A$8:A75)+1,"")</f>
        <v>58</v>
      </c>
      <c r="B76" s="12">
        <v>397</v>
      </c>
      <c r="C76" s="1" t="s">
        <v>392</v>
      </c>
      <c r="D76" s="150" t="s">
        <v>87</v>
      </c>
      <c r="E76" s="18">
        <f>'Gross Plant In Service-Exh. V'!E76-'Accumulated Reserves-Exh. VI'!E79</f>
        <v>-70837455</v>
      </c>
      <c r="F76" s="11">
        <f t="shared" si="6"/>
        <v>-44296353</v>
      </c>
      <c r="G76" s="11">
        <f t="shared" si="7"/>
        <v>-10486610</v>
      </c>
      <c r="H76" s="11">
        <f t="shared" si="8"/>
        <v>-16054492</v>
      </c>
      <c r="I76"/>
      <c r="J76" s="110"/>
    </row>
    <row r="77" spans="1:14">
      <c r="A77" s="37">
        <f>IF(ISNUMBER(E77),MAX(A$8:A76)+1,"")</f>
        <v>59</v>
      </c>
      <c r="B77" s="12">
        <v>390</v>
      </c>
      <c r="C77" s="1" t="s">
        <v>360</v>
      </c>
      <c r="D77" s="150"/>
      <c r="E77" s="18">
        <f>'Gross Plant In Service-Exh. V'!E77-'Accumulated Reserves-Exh. VI'!E80</f>
        <v>-153431128</v>
      </c>
      <c r="F77" s="11">
        <f t="shared" si="6"/>
        <v>-95944149</v>
      </c>
      <c r="G77" s="11">
        <f t="shared" si="7"/>
        <v>-22713583</v>
      </c>
      <c r="H77" s="11">
        <f t="shared" si="8"/>
        <v>-34773396</v>
      </c>
      <c r="I77"/>
      <c r="J77" s="110"/>
    </row>
    <row r="78" spans="1:14">
      <c r="A78" s="37">
        <f>IF(ISNUMBER(E78),MAX(A$8:A77)+1,"")</f>
        <v>60</v>
      </c>
      <c r="B78" s="12">
        <v>391</v>
      </c>
      <c r="C78" s="1" t="s">
        <v>361</v>
      </c>
      <c r="D78" s="150"/>
      <c r="E78" s="18">
        <f>'Gross Plant In Service-Exh. V'!E78-'Accumulated Reserves-Exh. VI'!E81</f>
        <v>-179098</v>
      </c>
      <c r="F78" s="11">
        <f t="shared" si="6"/>
        <v>-111994</v>
      </c>
      <c r="G78" s="11">
        <f t="shared" ref="G78" si="9">ROUND(E78*$G$96,0)</f>
        <v>-26513</v>
      </c>
      <c r="H78" s="11">
        <f t="shared" ref="H78" si="10">ROUND(E78*$G$97,0)</f>
        <v>-40590</v>
      </c>
      <c r="I78"/>
      <c r="J78" s="110"/>
    </row>
    <row r="79" spans="1:14">
      <c r="A79" s="37">
        <f>IF(ISNUMBER(E79),MAX(A$8:A78)+1,"")</f>
        <v>61</v>
      </c>
      <c r="B79" s="12">
        <v>398</v>
      </c>
      <c r="C79" s="1" t="s">
        <v>362</v>
      </c>
      <c r="D79" s="150"/>
      <c r="E79" s="18">
        <f>'Gross Plant In Service-Exh. V'!E79-'Accumulated Reserves-Exh. VI'!E82</f>
        <v>-1009733</v>
      </c>
      <c r="F79" s="11">
        <f t="shared" si="6"/>
        <v>-631410</v>
      </c>
      <c r="G79" s="11">
        <f t="shared" ref="G79" si="11">ROUND(E79*$G$96,0)</f>
        <v>-149478</v>
      </c>
      <c r="H79" s="11">
        <f t="shared" ref="H79" si="12">ROUND(E79*$G$97,0)</f>
        <v>-228844</v>
      </c>
      <c r="I79"/>
      <c r="J79" s="110"/>
    </row>
    <row r="80" spans="1:14">
      <c r="A80" s="37">
        <f>IF(ISNUMBER(E80),MAX(A$8:A79)+1,"")</f>
        <v>62</v>
      </c>
      <c r="C80" s="109" t="s">
        <v>432</v>
      </c>
      <c r="D80" s="109"/>
      <c r="E80" s="23">
        <f>SUM(E66:E79)</f>
        <v>71453129.889999807</v>
      </c>
      <c r="F80" s="23">
        <f>SUM(F66:F79)</f>
        <v>44681348</v>
      </c>
      <c r="G80" s="23">
        <f>SUM(G66:G79)</f>
        <v>10577754</v>
      </c>
      <c r="H80" s="23">
        <f>SUM(H66:H79)</f>
        <v>16194029</v>
      </c>
      <c r="I80"/>
      <c r="M80" s="110"/>
      <c r="N80" s="119"/>
    </row>
    <row r="81" spans="1:11">
      <c r="A81" s="37" t="str">
        <f>IF(ISNUMBER(E81),MAX(A$8:A80)+1,"")</f>
        <v/>
      </c>
      <c r="E81" s="21"/>
      <c r="F81" s="11"/>
      <c r="I81"/>
    </row>
    <row r="82" spans="1:11">
      <c r="A82" s="37">
        <f>IF(ISNUMBER(E82),MAX(A$8:A81)+1,"")</f>
        <v>63</v>
      </c>
      <c r="C82" s="109" t="s">
        <v>433</v>
      </c>
      <c r="D82" s="109"/>
      <c r="E82" s="21">
        <f>E80+E63+E48+E36+E18+E33</f>
        <v>1862151546.6799994</v>
      </c>
      <c r="F82" s="21">
        <f>F80+F63+F48+F36+F18+F33</f>
        <v>1417124045.3299999</v>
      </c>
      <c r="G82" s="3">
        <f>G80+G63+G48+G36+G18+G33</f>
        <v>116708213.12999997</v>
      </c>
      <c r="H82" s="3">
        <f>H80+H63+H48+H36+H18+H33</f>
        <v>328319288.80999976</v>
      </c>
      <c r="I82" s="81"/>
    </row>
    <row r="83" spans="1:11">
      <c r="A83" s="37" t="str">
        <f>IF(ISNUMBER(E83),MAX(A$8:A82)+1,"")</f>
        <v/>
      </c>
      <c r="C83" s="109"/>
      <c r="D83" s="109"/>
      <c r="E83" s="21"/>
      <c r="F83" s="21"/>
      <c r="I83" s="3"/>
      <c r="J83" s="3"/>
      <c r="K83" s="222"/>
    </row>
    <row r="84" spans="1:11">
      <c r="A84" s="37">
        <f>IF(ISNUMBER(E84),MAX(A$8:A83)+1,"")</f>
        <v>64</v>
      </c>
      <c r="C84" s="109" t="s">
        <v>434</v>
      </c>
      <c r="D84" s="150" t="s">
        <v>87</v>
      </c>
      <c r="E84" s="21">
        <f>'M&amp;S &amp; Prepayments-Exh. VIII'!Q16</f>
        <v>17955611.710000001</v>
      </c>
      <c r="F84" s="11">
        <f>ROUND(E84*$H$98,0)</f>
        <v>11228073</v>
      </c>
      <c r="G84" s="11">
        <f>ROUND(E84*$G$96,0)</f>
        <v>2658106</v>
      </c>
      <c r="H84" s="11">
        <f>ROUND(E84*$G$97,0)</f>
        <v>4069432</v>
      </c>
      <c r="I84"/>
    </row>
    <row r="85" spans="1:11">
      <c r="A85" s="37">
        <f>IF(ISNUMBER(E85),MAX(A$8:A84)+1,"")</f>
        <v>65</v>
      </c>
      <c r="C85" s="109" t="s">
        <v>435</v>
      </c>
      <c r="D85" s="109"/>
      <c r="E85" s="21">
        <f>'M&amp;S &amp; Prepayments-Exh. VIII'!Q19</f>
        <v>1584122.98</v>
      </c>
      <c r="F85" s="21">
        <v>1584123</v>
      </c>
      <c r="G85" s="3"/>
      <c r="H85" s="3"/>
      <c r="I85" s="222"/>
      <c r="J85" s="222"/>
    </row>
    <row r="86" spans="1:11">
      <c r="A86" s="37">
        <f>IF(ISNUMBER(E86),MAX(A$8:A85)+1,"")</f>
        <v>66</v>
      </c>
      <c r="C86" s="109" t="s">
        <v>436</v>
      </c>
      <c r="D86" s="109"/>
      <c r="E86" s="25">
        <v>6434865</v>
      </c>
      <c r="F86" s="25">
        <f>E86-G86-H86</f>
        <v>2516491</v>
      </c>
      <c r="G86" s="24">
        <v>1350966</v>
      </c>
      <c r="H86" s="24">
        <v>2567408</v>
      </c>
      <c r="I86"/>
    </row>
    <row r="87" spans="1:11">
      <c r="A87" s="37" t="str">
        <f>IF(ISNUMBER(E87),MAX(A$8:A86)+1,"")</f>
        <v/>
      </c>
      <c r="C87" s="109"/>
      <c r="D87" s="109"/>
      <c r="E87" s="21"/>
      <c r="F87" s="21"/>
      <c r="G87" s="3"/>
      <c r="H87" s="3"/>
      <c r="I87"/>
    </row>
    <row r="88" spans="1:11">
      <c r="A88" s="37">
        <f>IF(ISNUMBER(E88),MAX(A$8:A87)+1,"")</f>
        <v>67</v>
      </c>
      <c r="C88" s="2" t="s">
        <v>437</v>
      </c>
      <c r="D88" s="2"/>
      <c r="E88" s="11">
        <f>SUM(E82:E86)</f>
        <v>1888126146.3699994</v>
      </c>
      <c r="F88" s="11">
        <f>SUM(F82:F86)</f>
        <v>1432452732.3299999</v>
      </c>
      <c r="G88" s="11">
        <f>SUM(G82:G86)</f>
        <v>120717285.12999997</v>
      </c>
      <c r="H88" s="11">
        <f>SUM(H82:H86)</f>
        <v>334956128.80999976</v>
      </c>
      <c r="I88"/>
    </row>
    <row r="89" spans="1:11">
      <c r="A89" s="37" t="str">
        <f>IF(ISNUMBER(E89),MAX(A$8:A88)+1,"")</f>
        <v/>
      </c>
      <c r="C89" s="2"/>
      <c r="D89" s="2"/>
      <c r="E89" s="11"/>
      <c r="F89" s="11"/>
      <c r="G89" s="11"/>
      <c r="H89" s="11"/>
      <c r="I89" s="81"/>
      <c r="J89" s="81"/>
    </row>
    <row r="90" spans="1:11">
      <c r="A90" s="37">
        <f>IF(ISNUMBER(E90),MAX(A$8:A89)+1,"")</f>
        <v>68</v>
      </c>
      <c r="C90" s="2" t="s">
        <v>438</v>
      </c>
      <c r="D90" s="2"/>
      <c r="E90" s="120">
        <f>'Rate of Return-Exh. X'!I16</f>
        <v>4.9000000000000002E-2</v>
      </c>
      <c r="F90" s="120">
        <f>'Rate of Return-Exh. X'!I16</f>
        <v>4.9000000000000002E-2</v>
      </c>
      <c r="G90" s="120">
        <f>'Rate of Return-Exh. X'!I16</f>
        <v>4.9000000000000002E-2</v>
      </c>
      <c r="H90" s="120">
        <f>'Rate of Return-Exh. X'!I16</f>
        <v>4.9000000000000002E-2</v>
      </c>
      <c r="I90"/>
    </row>
    <row r="91" spans="1:11">
      <c r="A91" s="37" t="str">
        <f>IF(ISNUMBER(E91),MAX(A$8:A90)+1,"")</f>
        <v/>
      </c>
      <c r="C91" s="2"/>
      <c r="D91" s="2"/>
      <c r="E91" s="11"/>
      <c r="F91" s="11"/>
      <c r="G91" s="11"/>
      <c r="H91" s="11"/>
    </row>
    <row r="92" spans="1:11" ht="19.5" thickBot="1">
      <c r="A92" s="37">
        <f>IF(ISNUMBER(E92),MAX(A$8:A91)+1,"")</f>
        <v>69</v>
      </c>
      <c r="C92" s="2" t="s">
        <v>131</v>
      </c>
      <c r="D92" s="2"/>
      <c r="E92" s="27">
        <f>ROUND(E88*E90,0)</f>
        <v>92518181</v>
      </c>
      <c r="F92" s="27">
        <f t="shared" ref="F92:H92" si="13">ROUND(F88*F90,0)</f>
        <v>70190184</v>
      </c>
      <c r="G92" s="27">
        <f t="shared" si="13"/>
        <v>5915147</v>
      </c>
      <c r="H92" s="27">
        <f t="shared" si="13"/>
        <v>16412850</v>
      </c>
    </row>
    <row r="93" spans="1:11" ht="19.5" thickTop="1">
      <c r="E93" s="21"/>
      <c r="F93" s="11"/>
      <c r="I93" s="11"/>
      <c r="J93" s="11"/>
    </row>
    <row r="94" spans="1:11" ht="19.5" thickBot="1">
      <c r="B94" s="219" t="s">
        <v>87</v>
      </c>
      <c r="C94" s="71" t="s">
        <v>140</v>
      </c>
      <c r="D94" s="71"/>
      <c r="E94"/>
      <c r="G94" s="5" t="s">
        <v>141</v>
      </c>
    </row>
    <row r="95" spans="1:11">
      <c r="C95" s="6" t="s">
        <v>133</v>
      </c>
      <c r="D95" s="6"/>
      <c r="E95"/>
      <c r="G95" s="114">
        <f>'Allocation Factors-Exh. III'!J34</f>
        <v>0.51302686091922756</v>
      </c>
    </row>
    <row r="96" spans="1:11">
      <c r="C96" s="6" t="s">
        <v>329</v>
      </c>
      <c r="D96" s="6"/>
      <c r="E96"/>
      <c r="G96" s="114">
        <f>'Allocation Factors-Exh. III'!J35</f>
        <v>0.14803764489174498</v>
      </c>
    </row>
    <row r="97" spans="3:8">
      <c r="C97" s="6" t="s">
        <v>330</v>
      </c>
      <c r="D97" s="6"/>
      <c r="E97"/>
      <c r="G97" s="114">
        <f>'Allocation Factors-Exh. III'!J36</f>
        <v>0.22663847043140981</v>
      </c>
    </row>
    <row r="98" spans="3:8">
      <c r="C98" s="6" t="s">
        <v>204</v>
      </c>
      <c r="D98" s="6"/>
      <c r="E98"/>
      <c r="G98" s="116">
        <f>'Allocation Factors-Exh. III'!J37</f>
        <v>0.11229702375761763</v>
      </c>
      <c r="H98" s="10">
        <f>G95+G98</f>
        <v>0.62532388467684519</v>
      </c>
    </row>
    <row r="99" spans="3:8">
      <c r="C99" s="8" t="s">
        <v>149</v>
      </c>
      <c r="D99" s="8"/>
      <c r="E99"/>
      <c r="G99" s="9">
        <f>SUM(G95:G98)</f>
        <v>1</v>
      </c>
    </row>
  </sheetData>
  <pageMargins left="1" right="0" top="0" bottom="0" header="0" footer="0"/>
  <pageSetup scale="44" orientation="portrait" r:id="rId1"/>
  <headerFooter>
    <oddHeader>&amp;RExhibit VII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D6D7-365C-48DF-878D-3D824015422C}">
  <dimension ref="A1:Q76"/>
  <sheetViews>
    <sheetView topLeftCell="G1" workbookViewId="0">
      <selection activeCell="N7" sqref="N7:Q7"/>
    </sheetView>
  </sheetViews>
  <sheetFormatPr defaultColWidth="7.109375" defaultRowHeight="18.75"/>
  <cols>
    <col min="1" max="1" width="4.44140625" style="1" customWidth="1"/>
    <col min="2" max="2" width="1.33203125" style="1" customWidth="1"/>
    <col min="3" max="3" width="7.33203125" style="1" bestFit="1" customWidth="1"/>
    <col min="4" max="4" width="34.6640625" style="1" bestFit="1" customWidth="1"/>
    <col min="5" max="5" width="1.33203125" style="1" customWidth="1"/>
    <col min="6" max="8" width="12.33203125" style="1" bestFit="1" customWidth="1"/>
    <col min="9" max="9" width="2.109375" style="1" bestFit="1" customWidth="1"/>
    <col min="10" max="10" width="13.88671875" style="1" customWidth="1"/>
    <col min="11" max="11" width="12.88671875" style="1" customWidth="1"/>
    <col min="12" max="12" width="10.6640625" style="1" bestFit="1" customWidth="1"/>
    <col min="13" max="13" width="3.6640625" style="1" customWidth="1"/>
    <col min="14" max="14" width="12.5546875" style="1" bestFit="1" customWidth="1"/>
    <col min="15" max="15" width="11.21875" style="1" bestFit="1" customWidth="1"/>
    <col min="16" max="17" width="12.33203125" style="1" bestFit="1" customWidth="1"/>
    <col min="18" max="16384" width="7.109375" style="1"/>
  </cols>
  <sheetData>
    <row r="1" spans="1:17">
      <c r="A1" s="72"/>
      <c r="B1" s="72"/>
    </row>
    <row r="2" spans="1:17">
      <c r="A2" s="106" t="str">
        <f>'Cost of Service Factors-Exh. I'!A1</f>
        <v>Grant County Public Utility District</v>
      </c>
      <c r="B2" s="125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>
      <c r="A3" s="126" t="s">
        <v>439</v>
      </c>
      <c r="B3" s="125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>
      <c r="A4" s="72"/>
      <c r="B4" s="72"/>
      <c r="L4" s="1" t="s">
        <v>440</v>
      </c>
    </row>
    <row r="5" spans="1:17">
      <c r="A5" s="72" t="s">
        <v>167</v>
      </c>
      <c r="B5" s="72"/>
    </row>
    <row r="6" spans="1:17">
      <c r="A6" s="72"/>
      <c r="B6" s="72"/>
    </row>
    <row r="7" spans="1:17" ht="14.45" customHeight="1">
      <c r="A7" s="73"/>
      <c r="B7" s="73"/>
      <c r="C7" s="2"/>
      <c r="D7" s="2"/>
      <c r="E7" s="2"/>
      <c r="F7" s="286"/>
      <c r="G7" s="286"/>
      <c r="H7" s="286"/>
      <c r="I7" s="2" t="s">
        <v>167</v>
      </c>
      <c r="J7" s="287" t="s">
        <v>441</v>
      </c>
      <c r="K7" s="287"/>
      <c r="L7" s="287"/>
      <c r="M7" s="287"/>
      <c r="N7" s="288" t="s">
        <v>442</v>
      </c>
      <c r="O7" s="289"/>
      <c r="P7" s="289"/>
      <c r="Q7" s="289"/>
    </row>
    <row r="8" spans="1:17">
      <c r="A8" s="51" t="s">
        <v>45</v>
      </c>
      <c r="B8" s="51"/>
      <c r="C8" s="140" t="s">
        <v>215</v>
      </c>
      <c r="D8" s="140"/>
      <c r="E8" s="140"/>
      <c r="F8" s="140" t="s">
        <v>149</v>
      </c>
      <c r="H8" s="140" t="s">
        <v>216</v>
      </c>
      <c r="J8" s="220" t="s">
        <v>443</v>
      </c>
      <c r="K8" s="220"/>
      <c r="L8" s="220"/>
      <c r="M8" s="2"/>
      <c r="N8" s="141"/>
      <c r="O8" s="141"/>
      <c r="P8" s="141"/>
      <c r="Q8" s="141"/>
    </row>
    <row r="9" spans="1:17" ht="19.5" thickBot="1">
      <c r="A9" s="142" t="s">
        <v>47</v>
      </c>
      <c r="B9" s="51"/>
      <c r="C9" s="143" t="s">
        <v>444</v>
      </c>
      <c r="D9" s="143" t="s">
        <v>220</v>
      </c>
      <c r="E9" s="140"/>
      <c r="F9" s="143" t="s">
        <v>221</v>
      </c>
      <c r="G9" s="143" t="s">
        <v>222</v>
      </c>
      <c r="H9" s="143" t="s">
        <v>221</v>
      </c>
      <c r="I9" s="2"/>
      <c r="J9" s="143" t="s">
        <v>106</v>
      </c>
      <c r="K9" s="143" t="s">
        <v>107</v>
      </c>
      <c r="L9" s="143" t="s">
        <v>133</v>
      </c>
      <c r="M9" s="2"/>
      <c r="N9" s="143" t="s">
        <v>106</v>
      </c>
      <c r="O9" s="143" t="s">
        <v>107</v>
      </c>
      <c r="P9" s="143" t="s">
        <v>133</v>
      </c>
      <c r="Q9" s="143" t="s">
        <v>149</v>
      </c>
    </row>
    <row r="10" spans="1:17">
      <c r="A10" s="73"/>
      <c r="B10" s="73"/>
      <c r="C10" s="51" t="s">
        <v>52</v>
      </c>
      <c r="D10" s="51" t="s">
        <v>53</v>
      </c>
      <c r="F10" s="51" t="s">
        <v>54</v>
      </c>
      <c r="G10" s="51" t="s">
        <v>55</v>
      </c>
      <c r="H10" s="51" t="s">
        <v>56</v>
      </c>
      <c r="I10" s="2"/>
      <c r="J10" s="51" t="s">
        <v>229</v>
      </c>
      <c r="K10" s="51" t="s">
        <v>445</v>
      </c>
      <c r="L10" s="51" t="s">
        <v>446</v>
      </c>
      <c r="N10" s="51" t="s">
        <v>447</v>
      </c>
      <c r="O10" s="51" t="s">
        <v>448</v>
      </c>
      <c r="P10" s="51" t="s">
        <v>449</v>
      </c>
      <c r="Q10" s="51" t="s">
        <v>450</v>
      </c>
    </row>
    <row r="11" spans="1:17">
      <c r="H11" s="12"/>
      <c r="N11" s="12" t="s">
        <v>451</v>
      </c>
      <c r="O11" s="12" t="s">
        <v>452</v>
      </c>
      <c r="P11" s="12" t="s">
        <v>453</v>
      </c>
      <c r="Q11" s="12" t="s">
        <v>454</v>
      </c>
    </row>
    <row r="12" spans="1:17">
      <c r="F12" s="3"/>
      <c r="G12" s="3"/>
      <c r="H12" s="3"/>
    </row>
    <row r="13" spans="1:17">
      <c r="D13" s="2" t="s">
        <v>455</v>
      </c>
      <c r="F13" s="144"/>
      <c r="G13" s="144"/>
      <c r="H13" s="144"/>
    </row>
    <row r="14" spans="1:17">
      <c r="A14" s="37">
        <f>IF(ISNUMBER(F14),MAX(A$11:A13)+1,"" )</f>
        <v>1</v>
      </c>
      <c r="C14" s="1">
        <v>154</v>
      </c>
      <c r="D14" s="1" t="s">
        <v>456</v>
      </c>
      <c r="F14" s="3">
        <v>16397481.700000001</v>
      </c>
      <c r="G14" s="3">
        <v>0</v>
      </c>
      <c r="H14" s="3">
        <f>F14+G14</f>
        <v>16397481.700000001</v>
      </c>
      <c r="J14" s="139">
        <f>'Cost of Service-Exh. II'!C51</f>
        <v>0.14803764489174498</v>
      </c>
      <c r="K14" s="139">
        <f>'Cost of Service-Exh. II'!C52</f>
        <v>0.22663847043140981</v>
      </c>
      <c r="L14" s="139">
        <f>'Cost of Service-Exh. II'!D54</f>
        <v>0.62532388467684519</v>
      </c>
      <c r="N14" s="145">
        <f>$H14*J14</f>
        <v>2427444.5730234869</v>
      </c>
      <c r="O14" s="145">
        <f>$H14*K14</f>
        <v>3716300.1714150338</v>
      </c>
      <c r="P14" s="145">
        <f>$H14*L14</f>
        <v>10253736.95556148</v>
      </c>
      <c r="Q14" s="145">
        <f>SUM(N14:P14)</f>
        <v>16397481.699999999</v>
      </c>
    </row>
    <row r="15" spans="1:17">
      <c r="A15" s="37">
        <f>IF(ISNUMBER(F15),MAX(A$11:A14)+1,"" )</f>
        <v>2</v>
      </c>
      <c r="C15" s="1">
        <v>163</v>
      </c>
      <c r="D15" s="1" t="s">
        <v>457</v>
      </c>
      <c r="F15" s="3">
        <v>1558130.01</v>
      </c>
      <c r="G15" s="3">
        <v>0</v>
      </c>
      <c r="H15" s="3">
        <f>F15+G15</f>
        <v>1558130.01</v>
      </c>
      <c r="J15" s="139">
        <f>'Cost of Service-Exh. II'!C51</f>
        <v>0.14803764489174498</v>
      </c>
      <c r="K15" s="139">
        <f>'Cost of Service-Exh. II'!C52</f>
        <v>0.22663847043140981</v>
      </c>
      <c r="L15" s="139">
        <f>'Cost of Service-Exh. II'!D54</f>
        <v>0.62532388467684519</v>
      </c>
      <c r="N15" s="145">
        <f t="shared" ref="N15:P15" si="0">$H15*J15</f>
        <v>230661.89711555105</v>
      </c>
      <c r="O15" s="145">
        <f t="shared" si="0"/>
        <v>353132.20219967724</v>
      </c>
      <c r="P15" s="145">
        <f t="shared" si="0"/>
        <v>974335.9106847716</v>
      </c>
      <c r="Q15" s="145">
        <f>SUM(N15:P15)</f>
        <v>1558130.0099999998</v>
      </c>
    </row>
    <row r="16" spans="1:17">
      <c r="A16" s="37">
        <f>IF(ISNUMBER(F16),MAX(A$11:A15)+1,"" )</f>
        <v>3</v>
      </c>
      <c r="D16" s="109" t="s">
        <v>458</v>
      </c>
      <c r="F16" s="4">
        <f>SUM(F14:F15)</f>
        <v>17955611.710000001</v>
      </c>
      <c r="G16" s="4">
        <f>SUM(G14:G15)</f>
        <v>0</v>
      </c>
      <c r="H16" s="4">
        <f>SUM(H14:H15)</f>
        <v>17955611.710000001</v>
      </c>
      <c r="J16" s="146"/>
      <c r="K16" s="146"/>
      <c r="L16" s="146"/>
      <c r="N16" s="4">
        <f>SUM(N14:N15)</f>
        <v>2658106.4701390378</v>
      </c>
      <c r="O16" s="4">
        <f>SUM(O14:O15)</f>
        <v>4069432.3736147108</v>
      </c>
      <c r="P16" s="4">
        <f>SUM(P14:P15)</f>
        <v>11228072.866246251</v>
      </c>
      <c r="Q16" s="4">
        <f>SUM(Q14:Q15)</f>
        <v>17955611.710000001</v>
      </c>
    </row>
    <row r="17" spans="1:17">
      <c r="A17" s="37" t="str">
        <f>IF(ISNUMBER(F17),MAX(A$11:A16)+1,"" )</f>
        <v/>
      </c>
      <c r="F17" s="3"/>
      <c r="G17" s="3"/>
      <c r="H17" s="3"/>
      <c r="J17" s="139"/>
      <c r="K17" s="139"/>
      <c r="L17" s="139"/>
      <c r="N17" s="3"/>
      <c r="O17" s="3"/>
      <c r="P17" s="3"/>
      <c r="Q17" s="3"/>
    </row>
    <row r="18" spans="1:17">
      <c r="A18" s="37" t="str">
        <f>IF(ISNUMBER(F18),MAX(A$11:A17)+1,"" )</f>
        <v/>
      </c>
      <c r="D18" s="2" t="s">
        <v>459</v>
      </c>
      <c r="F18" s="3"/>
      <c r="G18" s="3"/>
      <c r="H18" s="3"/>
      <c r="J18" s="139"/>
      <c r="K18" s="139"/>
      <c r="L18" s="139"/>
      <c r="N18" s="3"/>
      <c r="O18" s="3"/>
      <c r="P18" s="3"/>
      <c r="Q18" s="3"/>
    </row>
    <row r="19" spans="1:17">
      <c r="A19" s="37">
        <f>IF(ISNUMBER(F19),MAX(A$11:A18)+1,"" )</f>
        <v>4</v>
      </c>
      <c r="C19" s="1">
        <v>165</v>
      </c>
      <c r="D19" s="1" t="s">
        <v>459</v>
      </c>
      <c r="F19" s="3">
        <v>1584122.98</v>
      </c>
      <c r="G19" s="3"/>
      <c r="H19" s="3">
        <f>F19+G19</f>
        <v>1584122.98</v>
      </c>
      <c r="I19" s="147"/>
      <c r="J19" s="148">
        <v>0</v>
      </c>
      <c r="K19" s="148">
        <v>0</v>
      </c>
      <c r="L19" s="148">
        <v>1</v>
      </c>
      <c r="N19" s="145">
        <f>$H19*J19</f>
        <v>0</v>
      </c>
      <c r="O19" s="145">
        <f>$H19*K19</f>
        <v>0</v>
      </c>
      <c r="P19" s="145">
        <f>$H19*L19</f>
        <v>1584122.98</v>
      </c>
      <c r="Q19" s="145">
        <f>SUM(N19:P19)</f>
        <v>1584122.98</v>
      </c>
    </row>
    <row r="20" spans="1:17">
      <c r="A20" s="37">
        <f>IF(ISNUMBER(F20),MAX(A$11:A19)+1,"" )</f>
        <v>5</v>
      </c>
      <c r="D20" s="109" t="s">
        <v>460</v>
      </c>
      <c r="F20" s="4">
        <f>SUM(F19:F19)</f>
        <v>1584122.98</v>
      </c>
      <c r="G20" s="4">
        <f>SUM(G19:G19)</f>
        <v>0</v>
      </c>
      <c r="H20" s="4">
        <f>SUM(H19:H19)</f>
        <v>1584122.98</v>
      </c>
      <c r="J20" s="148"/>
      <c r="K20" s="148"/>
      <c r="L20" s="148"/>
      <c r="N20" s="149">
        <f t="shared" ref="N20:P20" si="1">SUM(N19)</f>
        <v>0</v>
      </c>
      <c r="O20" s="149">
        <f t="shared" si="1"/>
        <v>0</v>
      </c>
      <c r="P20" s="149">
        <f t="shared" si="1"/>
        <v>1584122.98</v>
      </c>
      <c r="Q20" s="149">
        <f>SUM(Q19)</f>
        <v>1584122.98</v>
      </c>
    </row>
    <row r="21" spans="1:17">
      <c r="A21" s="37" t="str">
        <f>IF(ISNUMBER(F21),MAX(A$11:A20)+1,"" )</f>
        <v/>
      </c>
      <c r="F21" s="144"/>
      <c r="G21" s="144"/>
      <c r="H21" s="144"/>
    </row>
    <row r="22" spans="1:17">
      <c r="A22" s="37" t="str">
        <f>IF(ISNUMBER(F22),MAX(A$11:A21)+1,"" )</f>
        <v/>
      </c>
      <c r="F22" s="3"/>
      <c r="G22" s="3"/>
      <c r="H22" s="3"/>
    </row>
    <row r="23" spans="1:17">
      <c r="A23" s="51"/>
      <c r="B23" s="73"/>
      <c r="C23" s="73"/>
      <c r="F23" s="3"/>
      <c r="G23" s="3"/>
      <c r="H23" s="3"/>
    </row>
    <row r="24" spans="1:17">
      <c r="A24" s="51"/>
      <c r="B24" s="73"/>
      <c r="C24" s="73"/>
      <c r="F24" s="127"/>
      <c r="G24" s="127"/>
      <c r="H24" s="127"/>
    </row>
    <row r="25" spans="1:17">
      <c r="A25" s="51"/>
      <c r="B25" s="73"/>
      <c r="C25" s="73"/>
      <c r="F25" s="127"/>
      <c r="G25" s="127"/>
      <c r="H25" s="127"/>
    </row>
    <row r="26" spans="1:17">
      <c r="F26" s="127"/>
      <c r="G26" s="127"/>
      <c r="H26" s="127"/>
    </row>
    <row r="27" spans="1:17">
      <c r="F27" s="127"/>
      <c r="G27" s="127"/>
      <c r="H27" s="127"/>
    </row>
    <row r="28" spans="1:17">
      <c r="F28" s="127"/>
      <c r="G28" s="127"/>
      <c r="H28" s="127"/>
    </row>
    <row r="29" spans="1:17">
      <c r="F29" s="127"/>
      <c r="G29" s="127"/>
      <c r="H29" s="127"/>
    </row>
    <row r="30" spans="1:17">
      <c r="F30" s="127"/>
      <c r="G30" s="127"/>
      <c r="H30" s="127"/>
    </row>
    <row r="31" spans="1:17">
      <c r="F31" s="127"/>
      <c r="G31" s="127"/>
      <c r="H31" s="127"/>
    </row>
    <row r="32" spans="1:17">
      <c r="F32" s="127"/>
      <c r="G32" s="127"/>
      <c r="H32" s="127"/>
    </row>
    <row r="33" spans="6:8">
      <c r="F33" s="127"/>
      <c r="G33" s="127"/>
      <c r="H33" s="127"/>
    </row>
    <row r="34" spans="6:8">
      <c r="F34" s="127"/>
      <c r="G34" s="127"/>
      <c r="H34" s="127"/>
    </row>
    <row r="35" spans="6:8">
      <c r="F35" s="127"/>
      <c r="G35" s="127"/>
      <c r="H35" s="127"/>
    </row>
    <row r="36" spans="6:8">
      <c r="F36" s="127"/>
      <c r="G36" s="127"/>
      <c r="H36" s="127"/>
    </row>
    <row r="37" spans="6:8">
      <c r="F37" s="127"/>
      <c r="G37" s="127"/>
      <c r="H37" s="127"/>
    </row>
    <row r="38" spans="6:8">
      <c r="F38" s="127"/>
      <c r="G38" s="127"/>
      <c r="H38" s="127"/>
    </row>
    <row r="39" spans="6:8">
      <c r="F39" s="127"/>
      <c r="G39" s="127"/>
      <c r="H39" s="127"/>
    </row>
    <row r="40" spans="6:8">
      <c r="F40" s="127"/>
      <c r="G40" s="127"/>
      <c r="H40" s="127"/>
    </row>
    <row r="41" spans="6:8">
      <c r="F41" s="127"/>
      <c r="G41" s="127"/>
      <c r="H41" s="127"/>
    </row>
    <row r="42" spans="6:8">
      <c r="F42" s="127"/>
      <c r="G42" s="127"/>
      <c r="H42" s="127"/>
    </row>
    <row r="43" spans="6:8">
      <c r="F43" s="127"/>
      <c r="G43" s="127"/>
      <c r="H43" s="127"/>
    </row>
    <row r="44" spans="6:8">
      <c r="F44" s="127"/>
      <c r="G44" s="127"/>
      <c r="H44" s="127"/>
    </row>
    <row r="45" spans="6:8">
      <c r="F45" s="127"/>
      <c r="G45" s="127"/>
      <c r="H45" s="127"/>
    </row>
    <row r="46" spans="6:8">
      <c r="F46" s="127"/>
      <c r="G46" s="127"/>
      <c r="H46" s="127"/>
    </row>
    <row r="47" spans="6:8">
      <c r="F47" s="127"/>
      <c r="G47" s="127"/>
      <c r="H47" s="127"/>
    </row>
    <row r="48" spans="6:8">
      <c r="F48" s="127"/>
      <c r="G48" s="127"/>
      <c r="H48" s="127"/>
    </row>
    <row r="49" spans="6:8">
      <c r="F49" s="127"/>
      <c r="G49" s="127"/>
      <c r="H49" s="127"/>
    </row>
    <row r="50" spans="6:8">
      <c r="F50" s="127"/>
      <c r="G50" s="127"/>
      <c r="H50" s="127"/>
    </row>
    <row r="51" spans="6:8">
      <c r="F51" s="127"/>
      <c r="G51" s="127"/>
      <c r="H51" s="127"/>
    </row>
    <row r="52" spans="6:8">
      <c r="F52" s="127"/>
      <c r="G52" s="127"/>
      <c r="H52" s="127"/>
    </row>
    <row r="53" spans="6:8">
      <c r="F53" s="127"/>
      <c r="G53" s="127"/>
      <c r="H53" s="127"/>
    </row>
    <row r="54" spans="6:8">
      <c r="F54" s="127"/>
      <c r="G54" s="127"/>
      <c r="H54" s="127"/>
    </row>
    <row r="55" spans="6:8">
      <c r="F55" s="127"/>
      <c r="G55" s="127"/>
      <c r="H55" s="127"/>
    </row>
    <row r="56" spans="6:8">
      <c r="F56" s="127"/>
      <c r="G56" s="127"/>
      <c r="H56" s="127"/>
    </row>
    <row r="57" spans="6:8">
      <c r="F57" s="127"/>
      <c r="G57" s="127"/>
      <c r="H57" s="127"/>
    </row>
    <row r="58" spans="6:8">
      <c r="F58" s="127"/>
      <c r="G58" s="127"/>
      <c r="H58" s="127"/>
    </row>
    <row r="59" spans="6:8">
      <c r="F59" s="127"/>
      <c r="G59" s="127"/>
      <c r="H59" s="127"/>
    </row>
    <row r="60" spans="6:8">
      <c r="F60" s="127"/>
      <c r="G60" s="127"/>
      <c r="H60" s="127"/>
    </row>
    <row r="61" spans="6:8">
      <c r="F61" s="127"/>
      <c r="G61" s="127"/>
      <c r="H61" s="127"/>
    </row>
    <row r="62" spans="6:8">
      <c r="F62" s="127"/>
      <c r="G62" s="127"/>
      <c r="H62" s="127"/>
    </row>
    <row r="63" spans="6:8">
      <c r="F63" s="127"/>
      <c r="G63" s="127"/>
      <c r="H63" s="127"/>
    </row>
    <row r="64" spans="6:8">
      <c r="F64" s="127"/>
      <c r="G64" s="127"/>
      <c r="H64" s="127"/>
    </row>
    <row r="65" spans="6:8">
      <c r="F65" s="127"/>
      <c r="G65" s="127"/>
      <c r="H65" s="127"/>
    </row>
    <row r="66" spans="6:8">
      <c r="F66" s="127"/>
      <c r="G66" s="127"/>
      <c r="H66" s="127"/>
    </row>
    <row r="67" spans="6:8">
      <c r="F67" s="127"/>
      <c r="G67" s="127"/>
      <c r="H67" s="127"/>
    </row>
    <row r="68" spans="6:8">
      <c r="F68" s="127"/>
      <c r="G68" s="127"/>
      <c r="H68" s="127"/>
    </row>
    <row r="69" spans="6:8">
      <c r="F69" s="127"/>
      <c r="G69" s="127"/>
      <c r="H69" s="127"/>
    </row>
    <row r="70" spans="6:8">
      <c r="F70" s="127"/>
      <c r="G70" s="127"/>
      <c r="H70" s="127"/>
    </row>
    <row r="71" spans="6:8">
      <c r="F71" s="127"/>
      <c r="G71" s="127"/>
      <c r="H71" s="127"/>
    </row>
    <row r="72" spans="6:8">
      <c r="F72" s="127"/>
      <c r="G72" s="127"/>
      <c r="H72" s="127"/>
    </row>
    <row r="73" spans="6:8">
      <c r="F73" s="127"/>
      <c r="G73" s="127"/>
      <c r="H73" s="127"/>
    </row>
    <row r="74" spans="6:8">
      <c r="F74" s="127"/>
      <c r="G74" s="127"/>
      <c r="H74" s="127"/>
    </row>
    <row r="75" spans="6:8">
      <c r="F75" s="127"/>
      <c r="G75" s="127"/>
      <c r="H75" s="127"/>
    </row>
    <row r="76" spans="6:8">
      <c r="F76" s="127"/>
      <c r="G76" s="127"/>
      <c r="H76" s="127"/>
    </row>
  </sheetData>
  <mergeCells count="3">
    <mergeCell ref="F7:H7"/>
    <mergeCell ref="J7:M7"/>
    <mergeCell ref="N7:Q7"/>
  </mergeCells>
  <pageMargins left="0" right="0" top="0.75" bottom="0.75" header="0.3" footer="0.3"/>
  <pageSetup scale="60" orientation="landscape" r:id="rId1"/>
  <headerFooter>
    <oddHeader>&amp;RExhibit VIII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5A53-4C50-471B-95A1-43D6F7FB617F}">
  <dimension ref="A1:M79"/>
  <sheetViews>
    <sheetView topLeftCell="A22" workbookViewId="0">
      <selection activeCell="D41" sqref="D41"/>
    </sheetView>
  </sheetViews>
  <sheetFormatPr defaultColWidth="7.109375" defaultRowHeight="18.75"/>
  <cols>
    <col min="1" max="1" width="4.44140625" style="11" customWidth="1"/>
    <col min="2" max="2" width="42.5546875" style="11" bestFit="1" customWidth="1"/>
    <col min="3" max="3" width="13.88671875" style="11" bestFit="1" customWidth="1"/>
    <col min="4" max="4" width="16.109375" style="11" bestFit="1" customWidth="1"/>
    <col min="5" max="5" width="1.33203125" style="11" customWidth="1"/>
    <col min="6" max="6" width="12.33203125" style="11" bestFit="1" customWidth="1"/>
    <col min="7" max="7" width="11.44140625" style="11" customWidth="1"/>
    <col min="8" max="9" width="12.33203125" style="11" bestFit="1" customWidth="1"/>
    <col min="10" max="10" width="1.33203125" style="11" customWidth="1"/>
    <col min="11" max="11" width="19.21875" style="11" bestFit="1" customWidth="1"/>
    <col min="12" max="16384" width="7.109375" style="11"/>
  </cols>
  <sheetData>
    <row r="1" spans="1:13">
      <c r="A1" s="53" t="s">
        <v>461</v>
      </c>
    </row>
    <row r="2" spans="1:13">
      <c r="A2" s="199" t="str">
        <f>'Cost of Service Factors-Exh. I'!A1</f>
        <v>Grant County Public Utility District</v>
      </c>
      <c r="B2" s="193"/>
      <c r="C2" s="193"/>
      <c r="D2" s="193"/>
      <c r="E2"/>
      <c r="F2"/>
      <c r="G2"/>
      <c r="H2"/>
      <c r="I2"/>
      <c r="J2"/>
      <c r="K2"/>
    </row>
    <row r="3" spans="1:13">
      <c r="A3" s="194" t="s">
        <v>462</v>
      </c>
      <c r="B3" s="193"/>
      <c r="C3" s="193"/>
      <c r="D3" s="193"/>
      <c r="E3"/>
      <c r="F3"/>
      <c r="G3"/>
      <c r="H3"/>
      <c r="I3"/>
      <c r="J3"/>
      <c r="K3"/>
    </row>
    <row r="4" spans="1:13">
      <c r="A4"/>
      <c r="B4"/>
      <c r="C4"/>
      <c r="D4"/>
      <c r="E4"/>
      <c r="F4"/>
      <c r="G4"/>
      <c r="H4"/>
      <c r="I4"/>
      <c r="J4"/>
      <c r="K4"/>
    </row>
    <row r="5" spans="1:13">
      <c r="A5"/>
      <c r="B5"/>
      <c r="C5"/>
      <c r="D5"/>
      <c r="E5"/>
      <c r="F5"/>
      <c r="G5"/>
      <c r="H5"/>
      <c r="I5"/>
      <c r="J5"/>
      <c r="K5"/>
      <c r="L5"/>
      <c r="M5"/>
    </row>
    <row r="6" spans="1:13">
      <c r="A6"/>
      <c r="B6" s="174"/>
      <c r="C6" s="1"/>
      <c r="D6" s="1"/>
      <c r="E6"/>
      <c r="F6"/>
      <c r="G6"/>
      <c r="H6"/>
      <c r="I6"/>
      <c r="J6"/>
      <c r="K6"/>
      <c r="L6"/>
      <c r="M6"/>
    </row>
    <row r="7" spans="1:13">
      <c r="A7"/>
      <c r="B7" s="1"/>
      <c r="C7" s="1"/>
      <c r="D7" s="1"/>
      <c r="E7"/>
      <c r="F7"/>
      <c r="G7"/>
      <c r="H7"/>
      <c r="I7"/>
      <c r="J7"/>
      <c r="K7"/>
      <c r="L7"/>
      <c r="M7"/>
    </row>
    <row r="8" spans="1:13">
      <c r="A8" s="80" t="s">
        <v>45</v>
      </c>
      <c r="B8" s="1"/>
      <c r="C8" s="140" t="s">
        <v>215</v>
      </c>
      <c r="D8" s="175" t="s">
        <v>463</v>
      </c>
      <c r="E8"/>
      <c r="F8"/>
      <c r="G8"/>
      <c r="H8"/>
      <c r="I8"/>
      <c r="J8"/>
      <c r="K8"/>
      <c r="L8"/>
      <c r="M8"/>
    </row>
    <row r="9" spans="1:13">
      <c r="A9" s="186" t="s">
        <v>47</v>
      </c>
      <c r="B9" s="176" t="s">
        <v>464</v>
      </c>
      <c r="C9" s="180" t="s">
        <v>465</v>
      </c>
      <c r="D9" s="180" t="s">
        <v>466</v>
      </c>
      <c r="E9"/>
      <c r="F9"/>
      <c r="G9"/>
      <c r="H9"/>
      <c r="I9"/>
      <c r="J9"/>
      <c r="K9"/>
      <c r="L9"/>
      <c r="M9"/>
    </row>
    <row r="10" spans="1:13">
      <c r="A10"/>
      <c r="B10" s="1"/>
      <c r="C10" s="1"/>
      <c r="D10" s="1"/>
      <c r="E10"/>
      <c r="F10"/>
      <c r="G10"/>
      <c r="H10"/>
      <c r="I10"/>
      <c r="J10"/>
      <c r="K10"/>
      <c r="L10"/>
      <c r="M10"/>
    </row>
    <row r="11" spans="1:13">
      <c r="A11"/>
      <c r="B11" s="195" t="s">
        <v>467</v>
      </c>
      <c r="C11" s="1"/>
      <c r="D11" s="1"/>
      <c r="E11"/>
      <c r="F11"/>
      <c r="G11"/>
      <c r="H11"/>
      <c r="I11"/>
      <c r="J11"/>
      <c r="K11"/>
      <c r="L11"/>
      <c r="M11"/>
    </row>
    <row r="12" spans="1:13">
      <c r="A12" s="37">
        <f>IF(ISNUMBER(D12),MAX(A$8:A11)+1,"")</f>
        <v>1</v>
      </c>
      <c r="B12" s="177" t="s">
        <v>468</v>
      </c>
      <c r="C12" s="177" t="s">
        <v>469</v>
      </c>
      <c r="D12" s="178">
        <v>18723.93</v>
      </c>
      <c r="E12"/>
      <c r="F12"/>
      <c r="G12"/>
      <c r="H12"/>
      <c r="I12"/>
      <c r="J12"/>
      <c r="K12"/>
      <c r="L12"/>
      <c r="M12"/>
    </row>
    <row r="13" spans="1:13">
      <c r="A13" s="37">
        <f>IF(ISNUMBER(D13),MAX(A$8:A12)+1,"")</f>
        <v>2</v>
      </c>
      <c r="B13" s="177" t="s">
        <v>470</v>
      </c>
      <c r="C13" s="177" t="s">
        <v>471</v>
      </c>
      <c r="D13" s="178">
        <v>7936039.4100000001</v>
      </c>
      <c r="E13"/>
      <c r="F13"/>
      <c r="G13"/>
      <c r="H13"/>
      <c r="I13"/>
      <c r="J13"/>
      <c r="K13"/>
      <c r="L13"/>
      <c r="M13"/>
    </row>
    <row r="14" spans="1:13">
      <c r="A14" s="37">
        <f>IF(ISNUMBER(D14),MAX(A$8:A13)+1,"")</f>
        <v>3</v>
      </c>
      <c r="B14" s="177" t="s">
        <v>472</v>
      </c>
      <c r="C14" s="177" t="s">
        <v>473</v>
      </c>
      <c r="D14" s="178">
        <v>4201527.01</v>
      </c>
      <c r="E14"/>
      <c r="F14"/>
      <c r="G14"/>
      <c r="H14"/>
      <c r="I14"/>
      <c r="J14"/>
      <c r="K14"/>
      <c r="L14"/>
      <c r="M14"/>
    </row>
    <row r="15" spans="1:13">
      <c r="A15" s="37">
        <f>IF(ISNUMBER(D15),MAX(A$8:A14)+1,"")</f>
        <v>4</v>
      </c>
      <c r="B15" s="177" t="s">
        <v>474</v>
      </c>
      <c r="C15" s="177" t="s">
        <v>475</v>
      </c>
      <c r="D15" s="178">
        <v>2448395.2400000002</v>
      </c>
      <c r="E15"/>
      <c r="F15"/>
      <c r="G15"/>
      <c r="H15"/>
      <c r="I15"/>
      <c r="J15"/>
      <c r="K15"/>
    </row>
    <row r="16" spans="1:13">
      <c r="A16" s="37">
        <f>IF(ISNUMBER(D16),MAX(A$8:A15)+1,"")</f>
        <v>5</v>
      </c>
      <c r="B16" s="177" t="s">
        <v>476</v>
      </c>
      <c r="C16" s="177" t="s">
        <v>477</v>
      </c>
      <c r="D16" s="178">
        <v>219476.16</v>
      </c>
      <c r="E16"/>
      <c r="F16"/>
      <c r="G16"/>
      <c r="H16"/>
      <c r="I16"/>
      <c r="J16"/>
      <c r="K16"/>
    </row>
    <row r="17" spans="1:11">
      <c r="A17" s="37">
        <f>IF(ISNUMBER(D17),MAX(A$8:A16)+1,"")</f>
        <v>6</v>
      </c>
      <c r="B17" s="177" t="s">
        <v>478</v>
      </c>
      <c r="C17" s="177" t="s">
        <v>479</v>
      </c>
      <c r="D17" s="178">
        <v>6769.79</v>
      </c>
      <c r="E17"/>
      <c r="F17"/>
      <c r="G17"/>
      <c r="H17"/>
      <c r="I17"/>
      <c r="J17"/>
      <c r="K17"/>
    </row>
    <row r="18" spans="1:11">
      <c r="A18" s="37">
        <f>IF(ISNUMBER(D18),MAX(A$8:A17)+1,"")</f>
        <v>7</v>
      </c>
      <c r="B18" s="177" t="s">
        <v>480</v>
      </c>
      <c r="C18" s="177" t="s">
        <v>481</v>
      </c>
      <c r="D18" s="178">
        <v>4233.51</v>
      </c>
      <c r="E18"/>
      <c r="F18"/>
      <c r="G18"/>
      <c r="H18"/>
      <c r="I18"/>
      <c r="J18"/>
      <c r="K18"/>
    </row>
    <row r="19" spans="1:11">
      <c r="A19" s="37">
        <f>IF(ISNUMBER(D19),MAX(A$8:A18)+1,"")</f>
        <v>8</v>
      </c>
      <c r="B19" s="177" t="s">
        <v>482</v>
      </c>
      <c r="C19" s="177" t="s">
        <v>483</v>
      </c>
      <c r="D19" s="178">
        <v>1966134.08</v>
      </c>
      <c r="E19"/>
      <c r="F19"/>
      <c r="G19"/>
      <c r="H19"/>
      <c r="I19"/>
      <c r="J19"/>
      <c r="K19"/>
    </row>
    <row r="20" spans="1:11">
      <c r="A20" s="37">
        <f>IF(ISNUMBER(D20),MAX(A$8:A19)+1,"")</f>
        <v>9</v>
      </c>
      <c r="B20" s="177" t="s">
        <v>484</v>
      </c>
      <c r="C20" s="177" t="s">
        <v>485</v>
      </c>
      <c r="D20" s="178">
        <v>0</v>
      </c>
      <c r="E20"/>
      <c r="F20"/>
      <c r="G20"/>
      <c r="H20"/>
      <c r="I20"/>
      <c r="J20"/>
      <c r="K20"/>
    </row>
    <row r="21" spans="1:11">
      <c r="A21" s="37">
        <f>IF(ISNUMBER(D21),MAX(A$8:A20)+1,"")</f>
        <v>10</v>
      </c>
      <c r="B21" s="177" t="s">
        <v>486</v>
      </c>
      <c r="C21" s="177" t="s">
        <v>487</v>
      </c>
      <c r="D21" s="182">
        <v>0</v>
      </c>
      <c r="E21"/>
      <c r="F21"/>
      <c r="G21"/>
      <c r="H21"/>
      <c r="I21"/>
      <c r="J21"/>
      <c r="K21"/>
    </row>
    <row r="22" spans="1:11">
      <c r="A22" s="58" t="str">
        <f>IF(ISNUMBER(F22),MAX(A$12:A21)+1,"" )</f>
        <v/>
      </c>
      <c r="B22" s="177"/>
      <c r="C22" s="177"/>
      <c r="D22" s="178"/>
      <c r="E22"/>
      <c r="F22"/>
      <c r="G22"/>
      <c r="H22"/>
      <c r="I22"/>
      <c r="J22"/>
      <c r="K22"/>
    </row>
    <row r="23" spans="1:11" ht="19.5" thickBot="1">
      <c r="A23" s="37">
        <f>IF(ISNUMBER(D23),MAX(A$8:A22)+1,"")</f>
        <v>11</v>
      </c>
      <c r="B23" s="1" t="s">
        <v>149</v>
      </c>
      <c r="C23" s="1"/>
      <c r="D23" s="181">
        <f>SUM(D12:D21)</f>
        <v>16801299.129999999</v>
      </c>
      <c r="E23"/>
      <c r="F23"/>
      <c r="G23"/>
      <c r="H23"/>
      <c r="I23"/>
      <c r="J23"/>
      <c r="K23"/>
    </row>
    <row r="24" spans="1:11" ht="19.5" thickTop="1">
      <c r="A24" s="58"/>
      <c r="B24" s="1"/>
      <c r="C24" s="1"/>
      <c r="D24" s="179"/>
      <c r="E24"/>
      <c r="F24"/>
      <c r="G24"/>
      <c r="H24"/>
      <c r="I24"/>
      <c r="J24"/>
      <c r="K24"/>
    </row>
    <row r="25" spans="1:11">
      <c r="A25"/>
      <c r="B25" s="195" t="s">
        <v>488</v>
      </c>
      <c r="C25" s="1"/>
      <c r="D25" s="179"/>
      <c r="E25"/>
      <c r="F25"/>
      <c r="G25"/>
      <c r="H25"/>
      <c r="I25"/>
      <c r="J25"/>
      <c r="K25"/>
    </row>
    <row r="26" spans="1:11">
      <c r="A26"/>
      <c r="B26" s="1" t="s">
        <v>489</v>
      </c>
      <c r="C26" s="1"/>
      <c r="D26" s="179"/>
      <c r="E26"/>
      <c r="F26"/>
      <c r="G26"/>
      <c r="H26"/>
      <c r="I26"/>
      <c r="J26"/>
      <c r="K26"/>
    </row>
    <row r="27" spans="1:11">
      <c r="A27"/>
      <c r="B27" s="1" t="s">
        <v>490</v>
      </c>
      <c r="C27" s="1"/>
      <c r="D27" s="179"/>
      <c r="E27"/>
      <c r="F27"/>
      <c r="G27"/>
      <c r="H27"/>
      <c r="I27"/>
      <c r="J27"/>
      <c r="K27"/>
    </row>
    <row r="28" spans="1:11">
      <c r="A28"/>
      <c r="B28" s="1" t="s">
        <v>491</v>
      </c>
      <c r="C28" s="1"/>
      <c r="D28" s="179"/>
      <c r="E28"/>
      <c r="F28"/>
      <c r="G28"/>
      <c r="H28"/>
      <c r="I28"/>
      <c r="J28"/>
      <c r="K28"/>
    </row>
    <row r="29" spans="1:11">
      <c r="A29"/>
      <c r="B29" s="1" t="s">
        <v>492</v>
      </c>
      <c r="C29" s="1"/>
      <c r="D29" s="179"/>
      <c r="E29"/>
      <c r="F29"/>
      <c r="G29"/>
      <c r="H29"/>
      <c r="I29"/>
      <c r="J29"/>
      <c r="K29"/>
    </row>
    <row r="30" spans="1:11">
      <c r="A30"/>
      <c r="B30" s="1" t="s">
        <v>493</v>
      </c>
      <c r="C30" s="1"/>
      <c r="D30" s="179"/>
      <c r="E30"/>
      <c r="F30"/>
      <c r="G30"/>
      <c r="H30"/>
      <c r="I30"/>
      <c r="J30"/>
      <c r="K30"/>
    </row>
    <row r="31" spans="1:11">
      <c r="A31" s="58" t="str">
        <f>IF(ISNUMBER(F31),MAX(A$12:A23)+1,"" )</f>
        <v/>
      </c>
      <c r="B31"/>
      <c r="C31"/>
      <c r="D31" s="80" t="s">
        <v>494</v>
      </c>
      <c r="E31"/>
      <c r="F31"/>
      <c r="G31"/>
      <c r="H31"/>
      <c r="I31"/>
      <c r="J31"/>
      <c r="K31"/>
    </row>
    <row r="32" spans="1:11">
      <c r="A32" s="58"/>
      <c r="B32"/>
      <c r="C32" s="80" t="s">
        <v>494</v>
      </c>
      <c r="D32" s="80" t="s">
        <v>495</v>
      </c>
      <c r="E32"/>
      <c r="F32"/>
      <c r="G32"/>
      <c r="H32"/>
      <c r="I32"/>
      <c r="J32"/>
      <c r="K32"/>
    </row>
    <row r="33" spans="1:11">
      <c r="A33" s="58"/>
      <c r="B33"/>
      <c r="C33" s="80" t="s">
        <v>496</v>
      </c>
      <c r="D33" s="80" t="s">
        <v>497</v>
      </c>
      <c r="E33"/>
      <c r="F33"/>
      <c r="G33"/>
      <c r="H33"/>
      <c r="I33"/>
      <c r="J33"/>
      <c r="K33"/>
    </row>
    <row r="34" spans="1:11">
      <c r="A34" s="58"/>
      <c r="B34"/>
      <c r="C34" s="186" t="s">
        <v>498</v>
      </c>
      <c r="D34" s="29" t="s">
        <v>499</v>
      </c>
      <c r="E34"/>
      <c r="F34"/>
      <c r="G34"/>
      <c r="H34"/>
      <c r="I34"/>
      <c r="J34"/>
      <c r="K34"/>
    </row>
    <row r="35" spans="1:11">
      <c r="A35" s="58"/>
      <c r="B35"/>
      <c r="C35" s="80"/>
      <c r="D35" s="28"/>
      <c r="E35"/>
      <c r="F35"/>
      <c r="G35"/>
      <c r="H35"/>
      <c r="I35"/>
      <c r="J35"/>
      <c r="K35"/>
    </row>
    <row r="36" spans="1:11">
      <c r="A36" s="58" t="str">
        <f>IF(ISNUMBER(F36),MAX(A$12:A31)+1,"" )</f>
        <v/>
      </c>
      <c r="B36" s="183" t="s">
        <v>500</v>
      </c>
      <c r="C36"/>
      <c r="D36"/>
      <c r="E36"/>
      <c r="F36"/>
      <c r="G36"/>
      <c r="H36"/>
      <c r="I36"/>
      <c r="J36"/>
      <c r="K36"/>
    </row>
    <row r="37" spans="1:11">
      <c r="B37" s="177" t="s">
        <v>501</v>
      </c>
      <c r="C37"/>
      <c r="D37"/>
      <c r="E37"/>
      <c r="F37"/>
      <c r="G37"/>
      <c r="H37"/>
      <c r="I37"/>
      <c r="J37"/>
      <c r="K37"/>
    </row>
    <row r="38" spans="1:11" ht="75">
      <c r="A38" s="37">
        <f>IF(ISNUMBER(C38),MAX(A$8:A37)+1,"")</f>
        <v>12</v>
      </c>
      <c r="B38" s="184" t="s">
        <v>502</v>
      </c>
      <c r="C38" s="185">
        <v>3.8730000000000001E-2</v>
      </c>
      <c r="D38"/>
      <c r="E38"/>
      <c r="F38"/>
      <c r="G38"/>
      <c r="H38"/>
      <c r="I38"/>
      <c r="J38"/>
      <c r="K38"/>
    </row>
    <row r="39" spans="1:11">
      <c r="A39" s="57"/>
      <c r="D39" s="59"/>
      <c r="F39" s="59"/>
      <c r="G39" s="59"/>
      <c r="H39" s="59"/>
      <c r="I39" s="59"/>
    </row>
    <row r="40" spans="1:11">
      <c r="A40" s="57"/>
      <c r="B40" s="177" t="s">
        <v>503</v>
      </c>
      <c r="D40" s="59"/>
      <c r="F40" s="59"/>
      <c r="G40" s="59"/>
      <c r="H40" s="59"/>
      <c r="I40" s="59"/>
    </row>
    <row r="41" spans="1:11" ht="56.25">
      <c r="A41" s="37">
        <f>IF(ISNUMBER(D41),MAX(A$8:A40)+1,"")</f>
        <v>13</v>
      </c>
      <c r="B41" s="184" t="s">
        <v>504</v>
      </c>
      <c r="D41" s="187">
        <v>0</v>
      </c>
      <c r="F41" s="59"/>
      <c r="G41" s="59"/>
      <c r="H41" s="59"/>
      <c r="I41" s="59"/>
    </row>
    <row r="42" spans="1:11">
      <c r="D42" s="59"/>
      <c r="F42" s="59"/>
      <c r="G42" s="59"/>
      <c r="H42" s="59"/>
      <c r="I42" s="59"/>
    </row>
    <row r="43" spans="1:11">
      <c r="B43" s="52" t="s">
        <v>505</v>
      </c>
      <c r="C43" s="52"/>
      <c r="D43" s="188"/>
      <c r="F43" s="59"/>
      <c r="G43" s="59"/>
      <c r="H43" s="59"/>
      <c r="I43" s="59"/>
    </row>
    <row r="44" spans="1:11" ht="19.5" thickBot="1">
      <c r="A44" s="37">
        <f>IF(ISNUMBER(D44),MAX(A$8:A43)+1,"")</f>
        <v>14</v>
      </c>
      <c r="B44" s="52" t="s">
        <v>506</v>
      </c>
      <c r="C44" s="52"/>
      <c r="D44" s="189">
        <f>SUM(C38:D41)</f>
        <v>3.8730000000000001E-2</v>
      </c>
      <c r="F44" s="59"/>
      <c r="G44" s="59"/>
      <c r="H44" s="59"/>
      <c r="I44" s="59"/>
    </row>
    <row r="45" spans="1:11" ht="19.5" thickTop="1">
      <c r="B45" s="52"/>
      <c r="C45" s="52"/>
      <c r="D45" s="188"/>
      <c r="F45" s="59"/>
      <c r="G45" s="59"/>
      <c r="H45" s="59"/>
      <c r="I45" s="59"/>
    </row>
    <row r="46" spans="1:11">
      <c r="B46" s="52" t="s">
        <v>507</v>
      </c>
      <c r="C46" s="52"/>
      <c r="D46" s="188"/>
      <c r="F46" s="59"/>
      <c r="G46" s="59"/>
      <c r="H46" s="59"/>
      <c r="I46" s="59"/>
    </row>
    <row r="47" spans="1:11">
      <c r="B47" s="52" t="s">
        <v>508</v>
      </c>
      <c r="C47" s="52"/>
      <c r="D47" s="188"/>
      <c r="F47" s="59"/>
      <c r="G47" s="59"/>
      <c r="H47" s="59"/>
      <c r="I47" s="59"/>
    </row>
    <row r="48" spans="1:11">
      <c r="B48" s="52"/>
      <c r="C48" s="52"/>
      <c r="D48" s="188"/>
      <c r="F48" s="59"/>
      <c r="G48" s="59"/>
      <c r="H48" s="59"/>
      <c r="I48" s="59"/>
    </row>
    <row r="49" spans="4:9">
      <c r="D49" s="59"/>
      <c r="F49" s="59"/>
      <c r="G49" s="59"/>
      <c r="H49" s="59"/>
      <c r="I49" s="59"/>
    </row>
    <row r="50" spans="4:9">
      <c r="D50" s="59"/>
      <c r="F50" s="59"/>
      <c r="G50" s="59"/>
      <c r="H50" s="59"/>
      <c r="I50" s="59"/>
    </row>
    <row r="51" spans="4:9">
      <c r="D51" s="59"/>
      <c r="F51" s="59"/>
      <c r="G51" s="59"/>
      <c r="H51" s="59"/>
      <c r="I51" s="59"/>
    </row>
    <row r="52" spans="4:9">
      <c r="D52" s="59"/>
      <c r="F52" s="59"/>
      <c r="G52" s="59"/>
      <c r="H52" s="59"/>
      <c r="I52" s="59"/>
    </row>
    <row r="53" spans="4:9">
      <c r="D53" s="59"/>
      <c r="F53" s="59"/>
      <c r="G53" s="59"/>
      <c r="H53" s="59"/>
      <c r="I53" s="59"/>
    </row>
    <row r="54" spans="4:9">
      <c r="D54" s="59"/>
      <c r="F54" s="59"/>
      <c r="G54" s="59"/>
      <c r="H54" s="59"/>
      <c r="I54" s="59"/>
    </row>
    <row r="55" spans="4:9">
      <c r="D55" s="59"/>
      <c r="F55" s="59"/>
      <c r="G55" s="59"/>
      <c r="H55" s="59"/>
      <c r="I55" s="59"/>
    </row>
    <row r="56" spans="4:9">
      <c r="D56" s="59"/>
      <c r="F56" s="59"/>
      <c r="G56" s="59"/>
      <c r="H56" s="59"/>
      <c r="I56" s="59"/>
    </row>
    <row r="57" spans="4:9">
      <c r="D57" s="59"/>
      <c r="F57" s="59"/>
      <c r="G57" s="59"/>
      <c r="H57" s="59"/>
      <c r="I57" s="59"/>
    </row>
    <row r="58" spans="4:9">
      <c r="D58" s="59"/>
      <c r="F58" s="59"/>
      <c r="G58" s="59"/>
      <c r="H58" s="59"/>
      <c r="I58" s="59"/>
    </row>
    <row r="59" spans="4:9">
      <c r="D59" s="59"/>
      <c r="F59" s="59"/>
      <c r="G59" s="59"/>
      <c r="H59" s="59"/>
      <c r="I59" s="59"/>
    </row>
    <row r="60" spans="4:9">
      <c r="D60" s="59"/>
      <c r="F60" s="59"/>
      <c r="G60" s="59"/>
      <c r="H60" s="59"/>
      <c r="I60" s="59"/>
    </row>
    <row r="61" spans="4:9">
      <c r="D61" s="59"/>
      <c r="F61" s="59"/>
      <c r="G61" s="59"/>
      <c r="H61" s="59"/>
      <c r="I61" s="59"/>
    </row>
    <row r="62" spans="4:9">
      <c r="D62" s="59"/>
      <c r="F62" s="59"/>
      <c r="G62" s="59"/>
      <c r="H62" s="59"/>
      <c r="I62" s="59"/>
    </row>
    <row r="63" spans="4:9">
      <c r="D63" s="59"/>
      <c r="F63" s="59"/>
      <c r="G63" s="59"/>
      <c r="H63" s="59"/>
      <c r="I63" s="59"/>
    </row>
    <row r="64" spans="4:9">
      <c r="D64" s="59"/>
      <c r="F64" s="59"/>
      <c r="G64" s="59"/>
      <c r="H64" s="59"/>
      <c r="I64" s="59"/>
    </row>
    <row r="65" spans="4:9">
      <c r="D65" s="59"/>
      <c r="F65" s="59"/>
      <c r="G65" s="59"/>
      <c r="H65" s="59"/>
      <c r="I65" s="59"/>
    </row>
    <row r="66" spans="4:9">
      <c r="D66" s="59"/>
      <c r="F66" s="59"/>
      <c r="G66" s="59"/>
      <c r="H66" s="59"/>
      <c r="I66" s="59"/>
    </row>
    <row r="67" spans="4:9">
      <c r="D67" s="59"/>
      <c r="F67" s="59"/>
      <c r="G67" s="59"/>
      <c r="H67" s="59"/>
      <c r="I67" s="59"/>
    </row>
    <row r="68" spans="4:9">
      <c r="D68" s="59"/>
      <c r="F68" s="59"/>
      <c r="G68" s="59"/>
      <c r="H68" s="59"/>
      <c r="I68" s="59"/>
    </row>
    <row r="69" spans="4:9">
      <c r="D69" s="59"/>
      <c r="F69" s="59"/>
      <c r="G69" s="59"/>
      <c r="H69" s="59"/>
      <c r="I69" s="59"/>
    </row>
    <row r="70" spans="4:9">
      <c r="D70" s="59"/>
      <c r="F70" s="59"/>
      <c r="G70" s="59"/>
      <c r="H70" s="59"/>
      <c r="I70" s="59"/>
    </row>
    <row r="71" spans="4:9">
      <c r="D71" s="59"/>
      <c r="F71" s="59"/>
      <c r="G71" s="59"/>
      <c r="H71" s="59"/>
      <c r="I71" s="59"/>
    </row>
    <row r="72" spans="4:9">
      <c r="D72" s="59"/>
      <c r="F72" s="59"/>
      <c r="G72" s="59"/>
      <c r="H72" s="59"/>
      <c r="I72" s="59"/>
    </row>
    <row r="73" spans="4:9">
      <c r="D73" s="59"/>
      <c r="F73" s="59"/>
      <c r="G73" s="59"/>
      <c r="H73" s="59"/>
      <c r="I73" s="59"/>
    </row>
    <row r="74" spans="4:9">
      <c r="D74" s="59"/>
      <c r="F74" s="59"/>
      <c r="G74" s="59"/>
      <c r="H74" s="59"/>
      <c r="I74" s="59"/>
    </row>
    <row r="75" spans="4:9">
      <c r="D75" s="59"/>
      <c r="F75" s="59"/>
      <c r="G75" s="59"/>
      <c r="H75" s="59"/>
      <c r="I75" s="59"/>
    </row>
    <row r="76" spans="4:9">
      <c r="D76" s="59"/>
      <c r="F76" s="59"/>
      <c r="G76" s="59"/>
      <c r="H76" s="59"/>
      <c r="I76" s="59"/>
    </row>
    <row r="77" spans="4:9">
      <c r="D77" s="59"/>
      <c r="F77" s="59"/>
      <c r="G77" s="59"/>
      <c r="H77" s="59"/>
      <c r="I77" s="59"/>
    </row>
    <row r="78" spans="4:9">
      <c r="D78" s="59"/>
      <c r="F78" s="59"/>
      <c r="G78" s="59"/>
      <c r="H78" s="59"/>
      <c r="I78" s="59"/>
    </row>
    <row r="79" spans="4:9">
      <c r="D79" s="59"/>
      <c r="F79" s="59"/>
      <c r="G79" s="59"/>
      <c r="H79" s="59"/>
      <c r="I79" s="59"/>
    </row>
  </sheetData>
  <pageMargins left="1" right="0" top="0.25" bottom="0.25" header="0.3" footer="0.3"/>
  <pageSetup scale="80" orientation="portrait" r:id="rId1"/>
  <headerFooter>
    <oddHeader>&amp;RExhibit IX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7F69-7AAA-40AC-AA1A-997238B0EEBC}">
  <dimension ref="A1:I29"/>
  <sheetViews>
    <sheetView workbookViewId="0"/>
  </sheetViews>
  <sheetFormatPr defaultColWidth="7.109375" defaultRowHeight="18.75"/>
  <cols>
    <col min="1" max="1" width="5.6640625" style="1" customWidth="1"/>
    <col min="2" max="2" width="1.33203125" style="1" customWidth="1"/>
    <col min="3" max="3" width="31.33203125" style="1" customWidth="1"/>
    <col min="4" max="4" width="21.33203125" style="1" customWidth="1"/>
    <col min="5" max="5" width="13.77734375" style="1" bestFit="1" customWidth="1"/>
    <col min="6" max="6" width="1.33203125" style="1" customWidth="1"/>
    <col min="7" max="7" width="8.88671875" style="1" customWidth="1"/>
    <col min="8" max="8" width="1.33203125" style="1" customWidth="1"/>
    <col min="9" max="9" width="17.6640625" style="1" bestFit="1" customWidth="1"/>
    <col min="10" max="10" width="7.33203125" style="1" bestFit="1" customWidth="1"/>
    <col min="11" max="16384" width="7.109375" style="1"/>
  </cols>
  <sheetData>
    <row r="1" spans="1:9">
      <c r="A1" s="72"/>
      <c r="B1" s="72"/>
    </row>
    <row r="2" spans="1:9">
      <c r="A2" s="106" t="str">
        <f>'Cost of Service Factors-Exh. I'!A1</f>
        <v>Grant County Public Utility District</v>
      </c>
      <c r="B2" s="125"/>
      <c r="C2" s="101"/>
      <c r="D2" s="101"/>
      <c r="E2" s="101"/>
      <c r="F2" s="101"/>
      <c r="G2" s="101"/>
      <c r="H2" s="101"/>
      <c r="I2" s="101"/>
    </row>
    <row r="3" spans="1:9">
      <c r="A3" s="125" t="s">
        <v>509</v>
      </c>
      <c r="B3" s="125"/>
      <c r="C3" s="101"/>
      <c r="D3" s="101"/>
      <c r="E3" s="101"/>
      <c r="F3" s="101"/>
      <c r="G3" s="101"/>
      <c r="H3" s="101"/>
      <c r="I3" s="101"/>
    </row>
    <row r="4" spans="1:9">
      <c r="A4" s="72"/>
      <c r="B4" s="72"/>
    </row>
    <row r="5" spans="1:9">
      <c r="A5" s="72" t="s">
        <v>167</v>
      </c>
      <c r="B5" s="72"/>
    </row>
    <row r="6" spans="1:9">
      <c r="A6" s="72"/>
      <c r="B6" s="72"/>
    </row>
    <row r="7" spans="1:9">
      <c r="A7" s="73"/>
      <c r="B7" s="73"/>
      <c r="C7" s="2"/>
      <c r="D7" s="2"/>
      <c r="E7" s="2"/>
      <c r="F7" s="2"/>
      <c r="G7" s="2"/>
      <c r="H7" s="2"/>
    </row>
    <row r="8" spans="1:9">
      <c r="A8" s="37" t="s">
        <v>45</v>
      </c>
      <c r="B8" s="37"/>
      <c r="C8" s="12"/>
      <c r="D8" s="12"/>
      <c r="E8" s="12" t="s">
        <v>510</v>
      </c>
      <c r="F8" s="12"/>
      <c r="G8" s="12" t="s">
        <v>511</v>
      </c>
      <c r="H8" s="12"/>
      <c r="I8" s="12" t="s">
        <v>512</v>
      </c>
    </row>
    <row r="9" spans="1:9" ht="19.5" thickBot="1">
      <c r="A9" s="134" t="s">
        <v>47</v>
      </c>
      <c r="B9" s="37"/>
      <c r="C9" s="135" t="s">
        <v>513</v>
      </c>
      <c r="D9" s="135"/>
      <c r="E9" s="135" t="s">
        <v>514</v>
      </c>
      <c r="F9" s="12"/>
      <c r="G9" s="135" t="s">
        <v>515</v>
      </c>
      <c r="H9" s="12"/>
      <c r="I9" s="135" t="s">
        <v>516</v>
      </c>
    </row>
    <row r="10" spans="1:9">
      <c r="A10" s="73"/>
      <c r="B10" s="73"/>
      <c r="C10" s="37" t="s">
        <v>52</v>
      </c>
      <c r="D10" s="37"/>
      <c r="E10" s="37" t="s">
        <v>53</v>
      </c>
      <c r="G10" s="37" t="s">
        <v>54</v>
      </c>
      <c r="I10" s="37" t="s">
        <v>55</v>
      </c>
    </row>
    <row r="12" spans="1:9">
      <c r="C12" s="2" t="s">
        <v>517</v>
      </c>
      <c r="D12" s="2"/>
    </row>
    <row r="13" spans="1:9">
      <c r="C13" s="2"/>
      <c r="D13" s="2"/>
    </row>
    <row r="14" spans="1:9">
      <c r="A14" s="37">
        <f>IF(ISNUMBER(I14),MAX(A$11:A13)+1, "")</f>
        <v>1</v>
      </c>
      <c r="C14" s="74" t="s">
        <v>518</v>
      </c>
      <c r="D14" s="74" t="s">
        <v>519</v>
      </c>
      <c r="E14" s="75">
        <v>0.6</v>
      </c>
      <c r="G14" s="76">
        <v>3.5000000000000003E-2</v>
      </c>
      <c r="I14" s="10">
        <f>E14*G14</f>
        <v>2.1000000000000001E-2</v>
      </c>
    </row>
    <row r="15" spans="1:9">
      <c r="A15" s="37">
        <f>IF(ISNUMBER(I15),MAX(A$11:A14)+1, "")</f>
        <v>2</v>
      </c>
      <c r="C15" s="74" t="s">
        <v>520</v>
      </c>
      <c r="D15" s="74" t="s">
        <v>521</v>
      </c>
      <c r="E15" s="75">
        <v>0.4</v>
      </c>
      <c r="G15" s="76">
        <v>7.0000000000000007E-2</v>
      </c>
      <c r="I15" s="10">
        <f>E15*G15</f>
        <v>2.8000000000000004E-2</v>
      </c>
    </row>
    <row r="16" spans="1:9">
      <c r="A16" s="37">
        <f>IF(ISNUMBER(I16),MAX(A$11:A15)+1, "")</f>
        <v>3</v>
      </c>
      <c r="C16" s="77" t="s">
        <v>149</v>
      </c>
      <c r="D16" s="77"/>
      <c r="E16" s="78">
        <f>SUM(E14:E15)</f>
        <v>1</v>
      </c>
      <c r="I16" s="79">
        <f>SUM(I14:I15)</f>
        <v>4.9000000000000002E-2</v>
      </c>
    </row>
    <row r="17" spans="1:9">
      <c r="A17" s="37" t="str">
        <f>IF(ISNUMBER(I17),MAX(A$11:A16)+1, "")</f>
        <v/>
      </c>
    </row>
    <row r="18" spans="1:9">
      <c r="A18" s="51" t="s">
        <v>207</v>
      </c>
      <c r="B18" s="73"/>
      <c r="C18" s="73"/>
      <c r="D18" s="73"/>
    </row>
    <row r="19" spans="1:9">
      <c r="A19" s="51" t="s">
        <v>208</v>
      </c>
      <c r="B19" s="73"/>
      <c r="C19" s="73" t="s">
        <v>522</v>
      </c>
      <c r="D19" s="73"/>
    </row>
    <row r="20" spans="1:9">
      <c r="A20" s="51"/>
      <c r="B20" s="73"/>
      <c r="C20" s="73"/>
      <c r="D20" s="73"/>
    </row>
    <row r="21" spans="1:9">
      <c r="A21" s="51" t="s">
        <v>211</v>
      </c>
      <c r="B21" s="73"/>
      <c r="C21" s="73" t="s">
        <v>523</v>
      </c>
      <c r="D21" s="73"/>
    </row>
    <row r="22" spans="1:9">
      <c r="A22" s="51"/>
      <c r="B22" s="73"/>
      <c r="C22" s="73"/>
      <c r="D22" s="73"/>
    </row>
    <row r="23" spans="1:9">
      <c r="A23" s="51" t="s">
        <v>524</v>
      </c>
      <c r="C23" s="284" t="s">
        <v>525</v>
      </c>
    </row>
    <row r="29" spans="1:9">
      <c r="I29" s="1" t="s">
        <v>526</v>
      </c>
    </row>
  </sheetData>
  <pageMargins left="0" right="0" top="0" bottom="0" header="0" footer="0"/>
  <pageSetup scale="75" orientation="portrait" r:id="rId1"/>
  <headerFooter>
    <oddHeader>&amp;RExhibit X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4A9A-1C20-41FB-877D-64836C233C33}">
  <dimension ref="A1:O67"/>
  <sheetViews>
    <sheetView workbookViewId="0"/>
  </sheetViews>
  <sheetFormatPr defaultColWidth="7.109375" defaultRowHeight="18.75"/>
  <cols>
    <col min="1" max="1" width="4.44140625" style="11" customWidth="1"/>
    <col min="2" max="2" width="1.33203125" style="11" customWidth="1"/>
    <col min="3" max="3" width="7.109375" style="11"/>
    <col min="4" max="4" width="26.77734375" style="11" bestFit="1" customWidth="1"/>
    <col min="5" max="5" width="1.33203125" style="11" customWidth="1"/>
    <col min="6" max="6" width="35.77734375" style="11" bestFit="1" customWidth="1"/>
    <col min="7" max="7" width="1.33203125" style="11" customWidth="1"/>
    <col min="8" max="8" width="10.77734375" style="11" bestFit="1" customWidth="1"/>
    <col min="9" max="13" width="10.77734375" style="11" customWidth="1"/>
    <col min="14" max="14" width="1.33203125" style="11" customWidth="1"/>
    <col min="15" max="15" width="23.109375" style="11" bestFit="1" customWidth="1"/>
    <col min="16" max="16384" width="7.109375" style="11"/>
  </cols>
  <sheetData>
    <row r="1" spans="1:15">
      <c r="A1" s="53"/>
      <c r="B1" s="53"/>
    </row>
    <row r="2" spans="1:15">
      <c r="A2" s="106" t="str">
        <f>'Cost of Service Factors-Exh. I'!A1</f>
        <v>Grant County Public Utility District</v>
      </c>
      <c r="B2" s="106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>
      <c r="A3" s="107" t="s">
        <v>132</v>
      </c>
      <c r="B3" s="106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>
      <c r="A4" s="53"/>
      <c r="B4" s="53"/>
    </row>
    <row r="5" spans="1:15">
      <c r="A5" s="53" t="s">
        <v>167</v>
      </c>
      <c r="B5" s="53"/>
    </row>
    <row r="6" spans="1:15">
      <c r="A6" s="53"/>
      <c r="B6" s="53"/>
    </row>
    <row r="7" spans="1:15">
      <c r="A7" s="55"/>
      <c r="B7" s="55"/>
      <c r="C7" s="52"/>
      <c r="D7" s="52"/>
      <c r="E7" s="52"/>
      <c r="F7" s="52"/>
      <c r="G7" s="52" t="s">
        <v>167</v>
      </c>
      <c r="H7" s="133" t="s">
        <v>527</v>
      </c>
      <c r="I7" s="56"/>
      <c r="J7" s="56"/>
      <c r="K7" s="56"/>
      <c r="L7" s="56"/>
      <c r="M7" s="56"/>
      <c r="N7" s="52"/>
    </row>
    <row r="8" spans="1:15">
      <c r="A8" s="58" t="s">
        <v>45</v>
      </c>
      <c r="B8" s="58"/>
      <c r="C8" s="28" t="s">
        <v>215</v>
      </c>
      <c r="D8" s="28"/>
      <c r="E8" s="28"/>
      <c r="F8" s="28"/>
      <c r="H8" s="28">
        <v>1</v>
      </c>
      <c r="I8" s="28">
        <v>1</v>
      </c>
      <c r="J8" s="28"/>
      <c r="K8" s="28"/>
      <c r="L8" s="28"/>
      <c r="M8" s="28"/>
    </row>
    <row r="9" spans="1:15" ht="19.5" thickBot="1">
      <c r="A9" s="131" t="s">
        <v>47</v>
      </c>
      <c r="B9" s="58"/>
      <c r="C9" s="132" t="s">
        <v>444</v>
      </c>
      <c r="D9" s="132" t="s">
        <v>220</v>
      </c>
      <c r="E9" s="28"/>
      <c r="F9" s="132" t="s">
        <v>48</v>
      </c>
      <c r="H9" s="132" t="s">
        <v>106</v>
      </c>
      <c r="I9" s="132" t="s">
        <v>107</v>
      </c>
      <c r="J9" s="132" t="s">
        <v>528</v>
      </c>
      <c r="K9" s="132" t="s">
        <v>529</v>
      </c>
      <c r="L9" s="132" t="s">
        <v>530</v>
      </c>
      <c r="M9" s="132" t="s">
        <v>149</v>
      </c>
      <c r="O9" s="132" t="s">
        <v>531</v>
      </c>
    </row>
    <row r="10" spans="1:15">
      <c r="A10" s="55"/>
      <c r="B10" s="55"/>
      <c r="C10" s="58" t="s">
        <v>52</v>
      </c>
      <c r="D10" s="58" t="s">
        <v>53</v>
      </c>
      <c r="F10" s="58" t="s">
        <v>54</v>
      </c>
      <c r="H10" s="58" t="s">
        <v>55</v>
      </c>
      <c r="I10" s="58" t="s">
        <v>56</v>
      </c>
      <c r="J10" s="58" t="s">
        <v>229</v>
      </c>
      <c r="K10" s="58" t="s">
        <v>445</v>
      </c>
      <c r="L10" s="58" t="s">
        <v>446</v>
      </c>
      <c r="M10" s="58" t="s">
        <v>447</v>
      </c>
      <c r="O10" s="58" t="s">
        <v>448</v>
      </c>
    </row>
    <row r="11" spans="1:15">
      <c r="H11" s="28"/>
      <c r="I11" s="28"/>
      <c r="J11" s="28"/>
      <c r="K11" s="28"/>
      <c r="L11" s="28"/>
      <c r="M11" s="123"/>
    </row>
    <row r="12" spans="1:15">
      <c r="D12" s="52" t="s">
        <v>532</v>
      </c>
      <c r="H12" s="59"/>
      <c r="I12" s="59"/>
      <c r="J12" s="59"/>
      <c r="K12" s="59"/>
      <c r="L12" s="59"/>
      <c r="M12" s="59"/>
    </row>
    <row r="13" spans="1:15">
      <c r="A13" s="58">
        <f>IF(ISNUMBER(M:M),MAX(A$11:A12)+1, "")</f>
        <v>1</v>
      </c>
      <c r="C13" s="11">
        <v>450</v>
      </c>
      <c r="D13" s="11" t="s">
        <v>533</v>
      </c>
      <c r="F13" s="63" t="s">
        <v>534</v>
      </c>
      <c r="H13" s="62"/>
      <c r="I13" s="62">
        <v>1129691.96</v>
      </c>
      <c r="J13" s="62"/>
      <c r="K13" s="62"/>
      <c r="L13" s="62"/>
      <c r="M13" s="62">
        <f>SUM(H13:L13)</f>
        <v>1129691.96</v>
      </c>
      <c r="O13" s="11" t="s">
        <v>535</v>
      </c>
    </row>
    <row r="14" spans="1:15">
      <c r="A14" s="58">
        <f>IF(ISNUMBER(M:M),MAX(A$11:A13)+1, "")</f>
        <v>2</v>
      </c>
      <c r="C14" s="11">
        <v>451</v>
      </c>
      <c r="D14" s="11" t="s">
        <v>536</v>
      </c>
      <c r="F14" s="63" t="s">
        <v>537</v>
      </c>
      <c r="H14" s="62"/>
      <c r="I14" s="62">
        <v>2870955.2</v>
      </c>
      <c r="J14" s="62"/>
      <c r="K14" s="62"/>
      <c r="L14" s="62"/>
      <c r="M14" s="62">
        <f>SUM(H14:L14)</f>
        <v>2870955.2</v>
      </c>
      <c r="O14" s="11" t="s">
        <v>535</v>
      </c>
    </row>
    <row r="15" spans="1:15">
      <c r="A15" s="58">
        <f>IF(ISNUMBER(M:M),MAX(A$11:A14)+1, "")</f>
        <v>3</v>
      </c>
      <c r="C15" s="11">
        <v>454</v>
      </c>
      <c r="D15" s="11" t="s">
        <v>538</v>
      </c>
      <c r="F15" s="63" t="s">
        <v>539</v>
      </c>
      <c r="H15" s="62"/>
      <c r="I15" s="62">
        <v>382849.9</v>
      </c>
      <c r="J15" s="62"/>
      <c r="K15" s="62"/>
      <c r="L15" s="62"/>
      <c r="M15" s="62">
        <f>SUM(H15:L15)</f>
        <v>382849.9</v>
      </c>
      <c r="O15" s="11" t="s">
        <v>535</v>
      </c>
    </row>
    <row r="16" spans="1:15">
      <c r="A16" s="58">
        <f>IF(ISNUMBER(M:M),MAX(A$11:A15)+1, "")</f>
        <v>4</v>
      </c>
      <c r="D16" s="61" t="s">
        <v>540</v>
      </c>
      <c r="H16" s="20">
        <f t="shared" ref="H16:M16" si="0">SUM(H13:H15)</f>
        <v>0</v>
      </c>
      <c r="I16" s="20">
        <f t="shared" si="0"/>
        <v>4383497.0600000005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4383497.0600000005</v>
      </c>
    </row>
    <row r="17" spans="1:15">
      <c r="A17" s="58" t="str">
        <f>IF(ISNUMBER(M:M),MAX(A$11:A16)+1, "")</f>
        <v/>
      </c>
      <c r="D17" s="61"/>
      <c r="H17" s="62"/>
      <c r="I17" s="62"/>
      <c r="J17" s="62"/>
      <c r="K17" s="62"/>
      <c r="L17" s="62"/>
      <c r="M17" s="62"/>
    </row>
    <row r="18" spans="1:15">
      <c r="A18" s="58" t="str">
        <f>IF(ISNUMBER(M:M),MAX(A$11:A17)+1, "")</f>
        <v/>
      </c>
      <c r="D18" s="52" t="s">
        <v>541</v>
      </c>
    </row>
    <row r="19" spans="1:15">
      <c r="A19" s="58">
        <f>IF(ISNUMBER(M:M),MAX(A$11:A18)+1, "")</f>
        <v>5</v>
      </c>
      <c r="C19" s="11">
        <v>456</v>
      </c>
      <c r="D19" s="11" t="s">
        <v>542</v>
      </c>
      <c r="F19" s="129" t="s">
        <v>543</v>
      </c>
      <c r="H19" s="62">
        <v>165252</v>
      </c>
      <c r="I19" s="62"/>
      <c r="J19" s="62"/>
      <c r="K19" s="62"/>
      <c r="L19" s="62"/>
      <c r="M19" s="62">
        <f>SUM(H19:L19)</f>
        <v>165252</v>
      </c>
      <c r="O19" s="11" t="s">
        <v>544</v>
      </c>
    </row>
    <row r="20" spans="1:15">
      <c r="A20" s="58">
        <f>IF(ISNUMBER(M:M),MAX(A$11:A19)+1, "")</f>
        <v>6</v>
      </c>
      <c r="C20" s="11">
        <v>456</v>
      </c>
      <c r="D20" s="11" t="s">
        <v>542</v>
      </c>
      <c r="F20" s="129" t="s">
        <v>545</v>
      </c>
      <c r="H20" s="62">
        <v>142608</v>
      </c>
      <c r="I20" s="62"/>
      <c r="J20" s="62"/>
      <c r="K20" s="62"/>
      <c r="L20" s="62"/>
      <c r="M20" s="62">
        <f>SUM(H20:L20)</f>
        <v>142608</v>
      </c>
      <c r="O20" s="11" t="s">
        <v>544</v>
      </c>
    </row>
    <row r="21" spans="1:15">
      <c r="A21" s="58">
        <f>IF(ISNUMBER(M:M),MAX(A$11:A20)+1, "")</f>
        <v>7</v>
      </c>
      <c r="C21" s="11">
        <v>456</v>
      </c>
      <c r="D21" s="11" t="s">
        <v>542</v>
      </c>
      <c r="F21" s="129" t="s">
        <v>546</v>
      </c>
      <c r="H21" s="62">
        <v>53568</v>
      </c>
      <c r="I21" s="62"/>
      <c r="J21" s="62"/>
      <c r="K21" s="62"/>
      <c r="L21" s="62"/>
      <c r="M21" s="62">
        <f>SUM(H21:L21)</f>
        <v>53568</v>
      </c>
      <c r="O21" s="11" t="s">
        <v>547</v>
      </c>
    </row>
    <row r="22" spans="1:15">
      <c r="A22" s="58">
        <f>IF(ISNUMBER(M:M),MAX(A$11:A21)+1, "")</f>
        <v>8</v>
      </c>
      <c r="C22" s="11">
        <v>456</v>
      </c>
      <c r="D22" s="11" t="s">
        <v>542</v>
      </c>
      <c r="F22" s="129" t="s">
        <v>548</v>
      </c>
      <c r="H22" s="62">
        <v>53568</v>
      </c>
      <c r="I22" s="62"/>
      <c r="J22" s="62"/>
      <c r="K22" s="62"/>
      <c r="L22" s="62"/>
      <c r="M22" s="62">
        <f>SUM(H22:L22)</f>
        <v>53568</v>
      </c>
      <c r="O22" s="11" t="s">
        <v>547</v>
      </c>
    </row>
    <row r="23" spans="1:15">
      <c r="A23" s="58">
        <v>9</v>
      </c>
      <c r="D23" s="11" t="s">
        <v>549</v>
      </c>
      <c r="F23" s="129" t="s">
        <v>550</v>
      </c>
      <c r="H23" s="62">
        <v>0</v>
      </c>
      <c r="I23" s="62"/>
      <c r="J23" s="62"/>
      <c r="K23" s="62"/>
      <c r="L23" s="62"/>
      <c r="M23" s="62">
        <f>SUM(H23:L23)</f>
        <v>0</v>
      </c>
    </row>
    <row r="24" spans="1:15">
      <c r="A24" s="58">
        <v>10</v>
      </c>
      <c r="D24" s="61" t="s">
        <v>551</v>
      </c>
      <c r="H24" s="20">
        <f>SUM(H19:H23)</f>
        <v>414996</v>
      </c>
      <c r="I24" s="20">
        <f t="shared" ref="I24:M24" si="1">SUM(I19:I23)</f>
        <v>0</v>
      </c>
      <c r="J24" s="20">
        <f t="shared" si="1"/>
        <v>0</v>
      </c>
      <c r="K24" s="20">
        <f t="shared" si="1"/>
        <v>0</v>
      </c>
      <c r="L24" s="20">
        <f t="shared" si="1"/>
        <v>0</v>
      </c>
      <c r="M24" s="20">
        <f t="shared" si="1"/>
        <v>414996</v>
      </c>
    </row>
    <row r="25" spans="1:15">
      <c r="A25" s="58" t="str">
        <f>IF(ISNUMBER(M:M),MAX(A$11:A24)+1, "")</f>
        <v/>
      </c>
      <c r="D25" s="61"/>
      <c r="H25" s="130"/>
      <c r="I25" s="130"/>
      <c r="J25" s="130"/>
      <c r="K25" s="130"/>
      <c r="L25" s="130"/>
      <c r="M25" s="130"/>
    </row>
    <row r="26" spans="1:15">
      <c r="H26" s="59"/>
      <c r="I26" s="59"/>
      <c r="J26" s="59"/>
      <c r="K26" s="59"/>
      <c r="L26" s="59"/>
      <c r="M26" s="59"/>
    </row>
    <row r="27" spans="1:15">
      <c r="A27" s="57"/>
      <c r="B27" s="55"/>
      <c r="C27" s="55"/>
      <c r="H27" s="59"/>
      <c r="I27" s="59"/>
      <c r="J27" s="59"/>
      <c r="K27" s="59"/>
      <c r="L27" s="59"/>
      <c r="M27" s="59"/>
    </row>
    <row r="28" spans="1:15">
      <c r="H28" s="59"/>
      <c r="I28" s="59"/>
      <c r="J28" s="59"/>
      <c r="K28" s="59"/>
      <c r="L28" s="59"/>
      <c r="M28" s="59"/>
    </row>
    <row r="29" spans="1:15">
      <c r="H29" s="59"/>
      <c r="I29" s="59"/>
      <c r="J29" s="59"/>
      <c r="K29" s="59"/>
      <c r="L29" s="59"/>
      <c r="M29" s="59"/>
    </row>
    <row r="30" spans="1:15">
      <c r="H30" s="59"/>
      <c r="I30" s="59"/>
      <c r="J30" s="59"/>
      <c r="K30" s="59"/>
      <c r="L30" s="59"/>
      <c r="M30" s="59"/>
    </row>
    <row r="31" spans="1:15">
      <c r="H31" s="59"/>
      <c r="I31" s="59"/>
      <c r="J31" s="59"/>
      <c r="K31" s="59"/>
      <c r="L31" s="59"/>
      <c r="M31" s="59"/>
    </row>
    <row r="32" spans="1:15">
      <c r="H32" s="59"/>
      <c r="I32" s="59"/>
      <c r="J32" s="59"/>
      <c r="K32" s="59"/>
      <c r="L32" s="59"/>
      <c r="M32" s="59"/>
    </row>
    <row r="33" spans="8:13">
      <c r="H33" s="59"/>
      <c r="I33" s="59"/>
      <c r="J33" s="59"/>
      <c r="K33" s="59"/>
      <c r="L33" s="59"/>
      <c r="M33" s="59"/>
    </row>
    <row r="34" spans="8:13">
      <c r="H34" s="59"/>
      <c r="I34" s="59"/>
      <c r="J34" s="59"/>
      <c r="K34" s="59"/>
      <c r="L34" s="59"/>
      <c r="M34" s="59"/>
    </row>
    <row r="35" spans="8:13">
      <c r="H35" s="59"/>
      <c r="I35" s="59"/>
      <c r="J35" s="59"/>
      <c r="K35" s="59"/>
      <c r="L35" s="59"/>
      <c r="M35" s="59"/>
    </row>
    <row r="36" spans="8:13">
      <c r="H36" s="59"/>
      <c r="I36" s="59"/>
      <c r="J36" s="59"/>
      <c r="K36" s="59"/>
      <c r="L36" s="59"/>
      <c r="M36" s="59"/>
    </row>
    <row r="37" spans="8:13">
      <c r="H37" s="59"/>
      <c r="I37" s="59"/>
      <c r="J37" s="59"/>
      <c r="K37" s="59"/>
      <c r="L37" s="59"/>
      <c r="M37" s="59"/>
    </row>
    <row r="38" spans="8:13">
      <c r="H38" s="59"/>
      <c r="I38" s="59"/>
      <c r="J38" s="59"/>
      <c r="K38" s="59"/>
      <c r="L38" s="59"/>
      <c r="M38" s="59"/>
    </row>
    <row r="39" spans="8:13">
      <c r="H39" s="59"/>
      <c r="I39" s="59"/>
      <c r="J39" s="59"/>
      <c r="K39" s="59"/>
      <c r="L39" s="59"/>
      <c r="M39" s="59"/>
    </row>
    <row r="40" spans="8:13">
      <c r="H40" s="59"/>
      <c r="I40" s="59"/>
      <c r="J40" s="59"/>
      <c r="K40" s="59"/>
      <c r="L40" s="59"/>
      <c r="M40" s="59"/>
    </row>
    <row r="41" spans="8:13">
      <c r="H41" s="59"/>
      <c r="I41" s="59"/>
      <c r="J41" s="59"/>
      <c r="K41" s="59"/>
      <c r="L41" s="59"/>
      <c r="M41" s="59"/>
    </row>
    <row r="42" spans="8:13">
      <c r="H42" s="59"/>
      <c r="I42" s="59"/>
      <c r="J42" s="59"/>
      <c r="K42" s="59"/>
      <c r="L42" s="59"/>
      <c r="M42" s="59"/>
    </row>
    <row r="43" spans="8:13">
      <c r="H43" s="59"/>
      <c r="I43" s="59"/>
      <c r="J43" s="59"/>
      <c r="K43" s="59"/>
      <c r="L43" s="59"/>
      <c r="M43" s="59"/>
    </row>
    <row r="44" spans="8:13">
      <c r="H44" s="59"/>
      <c r="I44" s="59"/>
      <c r="J44" s="59"/>
      <c r="K44" s="59"/>
      <c r="L44" s="59"/>
      <c r="M44" s="59"/>
    </row>
    <row r="45" spans="8:13">
      <c r="H45" s="59"/>
      <c r="I45" s="59"/>
      <c r="J45" s="59"/>
      <c r="K45" s="59"/>
      <c r="L45" s="59"/>
      <c r="M45" s="59"/>
    </row>
    <row r="46" spans="8:13">
      <c r="H46" s="59"/>
      <c r="I46" s="59"/>
      <c r="J46" s="59"/>
      <c r="K46" s="59"/>
      <c r="L46" s="59"/>
      <c r="M46" s="59"/>
    </row>
    <row r="47" spans="8:13">
      <c r="H47" s="59"/>
      <c r="I47" s="59"/>
      <c r="J47" s="59"/>
      <c r="K47" s="59"/>
      <c r="L47" s="59"/>
      <c r="M47" s="59"/>
    </row>
    <row r="48" spans="8:13">
      <c r="H48" s="59"/>
      <c r="I48" s="59"/>
      <c r="J48" s="59"/>
      <c r="K48" s="59"/>
      <c r="L48" s="59"/>
      <c r="M48" s="59"/>
    </row>
    <row r="49" spans="8:13">
      <c r="H49" s="59"/>
      <c r="I49" s="59"/>
      <c r="J49" s="59"/>
      <c r="K49" s="59"/>
      <c r="L49" s="59"/>
      <c r="M49" s="59"/>
    </row>
    <row r="50" spans="8:13">
      <c r="H50" s="59"/>
      <c r="I50" s="59"/>
      <c r="J50" s="59"/>
      <c r="K50" s="59"/>
      <c r="L50" s="59"/>
      <c r="M50" s="59"/>
    </row>
    <row r="51" spans="8:13">
      <c r="H51" s="59"/>
      <c r="I51" s="59"/>
      <c r="J51" s="59"/>
      <c r="K51" s="59"/>
      <c r="L51" s="59"/>
      <c r="M51" s="59"/>
    </row>
    <row r="52" spans="8:13">
      <c r="H52" s="59"/>
      <c r="I52" s="59"/>
      <c r="J52" s="59"/>
      <c r="K52" s="59"/>
      <c r="L52" s="59"/>
      <c r="M52" s="59"/>
    </row>
    <row r="53" spans="8:13">
      <c r="H53" s="59"/>
      <c r="I53" s="59"/>
      <c r="J53" s="59"/>
      <c r="K53" s="59"/>
      <c r="L53" s="59"/>
      <c r="M53" s="59"/>
    </row>
    <row r="54" spans="8:13">
      <c r="H54" s="59"/>
      <c r="I54" s="59"/>
      <c r="J54" s="59"/>
      <c r="K54" s="59"/>
      <c r="L54" s="59"/>
      <c r="M54" s="59"/>
    </row>
    <row r="55" spans="8:13">
      <c r="H55" s="59"/>
      <c r="I55" s="59"/>
      <c r="J55" s="59"/>
      <c r="K55" s="59"/>
      <c r="L55" s="59"/>
      <c r="M55" s="59"/>
    </row>
    <row r="56" spans="8:13">
      <c r="H56" s="59"/>
      <c r="I56" s="59"/>
      <c r="J56" s="59"/>
      <c r="K56" s="59"/>
      <c r="L56" s="59"/>
      <c r="M56" s="59"/>
    </row>
    <row r="57" spans="8:13">
      <c r="H57" s="59"/>
      <c r="I57" s="59"/>
      <c r="J57" s="59"/>
      <c r="K57" s="59"/>
      <c r="L57" s="59"/>
      <c r="M57" s="59"/>
    </row>
    <row r="58" spans="8:13">
      <c r="H58" s="59"/>
      <c r="I58" s="59"/>
      <c r="J58" s="59"/>
      <c r="K58" s="59"/>
      <c r="L58" s="59"/>
      <c r="M58" s="59"/>
    </row>
    <row r="59" spans="8:13">
      <c r="H59" s="59"/>
      <c r="I59" s="59"/>
      <c r="J59" s="59"/>
      <c r="K59" s="59"/>
      <c r="L59" s="59"/>
      <c r="M59" s="59"/>
    </row>
    <row r="60" spans="8:13">
      <c r="H60" s="59"/>
      <c r="I60" s="59"/>
      <c r="J60" s="59"/>
      <c r="K60" s="59"/>
      <c r="L60" s="59"/>
      <c r="M60" s="59"/>
    </row>
    <row r="61" spans="8:13">
      <c r="H61" s="59"/>
      <c r="I61" s="59"/>
      <c r="J61" s="59"/>
      <c r="K61" s="59"/>
      <c r="L61" s="59"/>
      <c r="M61" s="59"/>
    </row>
    <row r="62" spans="8:13">
      <c r="H62" s="59"/>
      <c r="I62" s="59"/>
      <c r="J62" s="59"/>
      <c r="K62" s="59"/>
      <c r="L62" s="59"/>
      <c r="M62" s="59"/>
    </row>
    <row r="63" spans="8:13">
      <c r="H63" s="59"/>
      <c r="I63" s="59"/>
      <c r="J63" s="59"/>
      <c r="K63" s="59"/>
      <c r="L63" s="59"/>
      <c r="M63" s="59"/>
    </row>
    <row r="64" spans="8:13">
      <c r="H64" s="59"/>
      <c r="I64" s="59"/>
      <c r="J64" s="59"/>
      <c r="K64" s="59"/>
      <c r="L64" s="59"/>
      <c r="M64" s="59"/>
    </row>
    <row r="65" spans="8:13">
      <c r="H65" s="59"/>
      <c r="I65" s="59"/>
      <c r="J65" s="59"/>
      <c r="K65" s="59"/>
      <c r="L65" s="59"/>
      <c r="M65" s="59"/>
    </row>
    <row r="66" spans="8:13">
      <c r="H66" s="59"/>
      <c r="I66" s="59"/>
      <c r="J66" s="59"/>
      <c r="K66" s="59"/>
      <c r="L66" s="59"/>
      <c r="M66" s="59"/>
    </row>
    <row r="67" spans="8:13">
      <c r="H67" s="59"/>
      <c r="I67" s="59"/>
      <c r="J67" s="59"/>
      <c r="K67" s="59"/>
      <c r="L67" s="59"/>
      <c r="M67" s="59"/>
    </row>
  </sheetData>
  <pageMargins left="0" right="0" top="0.75" bottom="0.75" header="0.3" footer="0.3"/>
  <pageSetup scale="60" orientation="landscape" r:id="rId1"/>
  <headerFooter>
    <oddHeader>&amp;RExhibit XI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B3DF-80E8-466A-BFB1-FABAA72DE1FB}">
  <dimension ref="A1:T67"/>
  <sheetViews>
    <sheetView topLeftCell="A4" zoomScale="55" zoomScaleNormal="55" workbookViewId="0">
      <selection activeCell="T25" sqref="T25"/>
    </sheetView>
  </sheetViews>
  <sheetFormatPr defaultColWidth="6.88671875" defaultRowHeight="18.75"/>
  <cols>
    <col min="1" max="1" width="8.6640625" style="252" customWidth="1"/>
    <col min="2" max="2" width="1.21875" style="252" customWidth="1"/>
    <col min="3" max="3" width="10.21875" style="252" customWidth="1"/>
    <col min="4" max="4" width="1.21875" style="252" customWidth="1"/>
    <col min="5" max="5" width="11.21875" style="252" bestFit="1" customWidth="1"/>
    <col min="6" max="6" width="5" style="252" customWidth="1"/>
    <col min="7" max="7" width="7.109375" style="252" bestFit="1" customWidth="1"/>
    <col min="8" max="8" width="7" style="252" bestFit="1" customWidth="1"/>
    <col min="9" max="9" width="9.21875" style="252" bestFit="1" customWidth="1"/>
    <col min="10" max="10" width="6.77734375" style="252" bestFit="1" customWidth="1"/>
    <col min="11" max="11" width="10.77734375" style="252" bestFit="1" customWidth="1"/>
    <col min="12" max="12" width="3.5546875" style="252" customWidth="1"/>
    <col min="13" max="13" width="12.109375" style="252" bestFit="1" customWidth="1"/>
    <col min="14" max="14" width="14.44140625" style="252" bestFit="1" customWidth="1"/>
    <col min="15" max="15" width="3.44140625" style="252" customWidth="1"/>
    <col min="16" max="16" width="12.5546875" style="252" bestFit="1" customWidth="1"/>
    <col min="17" max="17" width="9.6640625" style="252" bestFit="1" customWidth="1"/>
    <col min="18" max="18" width="3" style="252" customWidth="1"/>
    <col min="19" max="19" width="13.21875" style="252" customWidth="1"/>
    <col min="20" max="20" width="17.44140625" style="252" customWidth="1"/>
    <col min="21" max="21" width="6.88671875" style="252"/>
    <col min="22" max="22" width="17.21875" style="252" bestFit="1" customWidth="1"/>
    <col min="23" max="16384" width="6.88671875" style="252"/>
  </cols>
  <sheetData>
    <row r="1" spans="1:20">
      <c r="A1" s="251"/>
      <c r="B1" s="251"/>
    </row>
    <row r="2" spans="1:20">
      <c r="A2" s="253" t="s">
        <v>42</v>
      </c>
      <c r="B2" s="254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</row>
    <row r="3" spans="1:20">
      <c r="A3" s="256" t="s">
        <v>552</v>
      </c>
      <c r="B3" s="254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</row>
    <row r="4" spans="1:20">
      <c r="A4" s="251"/>
      <c r="B4" s="251"/>
    </row>
    <row r="5" spans="1:20">
      <c r="A5" s="251" t="s">
        <v>167</v>
      </c>
      <c r="B5" s="251"/>
    </row>
    <row r="6" spans="1:20">
      <c r="A6" s="251"/>
      <c r="B6" s="251"/>
    </row>
    <row r="7" spans="1:20">
      <c r="A7" s="257"/>
      <c r="B7" s="257"/>
      <c r="C7" s="258"/>
      <c r="D7" s="258"/>
      <c r="E7" s="258"/>
      <c r="F7" s="258"/>
      <c r="G7" s="259"/>
      <c r="H7" s="259"/>
      <c r="I7" s="259"/>
      <c r="J7" s="259"/>
      <c r="K7" s="258"/>
    </row>
    <row r="8" spans="1:20" ht="56.25">
      <c r="A8" s="260"/>
      <c r="B8" s="260"/>
      <c r="C8" s="261"/>
      <c r="D8" s="261"/>
      <c r="E8" s="262" t="s">
        <v>553</v>
      </c>
      <c r="G8" s="263" t="s">
        <v>554</v>
      </c>
      <c r="H8" s="264"/>
      <c r="I8" s="264"/>
      <c r="J8" s="264"/>
      <c r="K8" s="264"/>
      <c r="M8" s="265" t="s">
        <v>555</v>
      </c>
      <c r="P8" s="266" t="s">
        <v>556</v>
      </c>
      <c r="Q8" s="266" t="s">
        <v>519</v>
      </c>
      <c r="R8" s="261"/>
      <c r="S8" s="290" t="s">
        <v>557</v>
      </c>
      <c r="T8" s="290"/>
    </row>
    <row r="9" spans="1:20" ht="112.5">
      <c r="A9" s="267" t="s">
        <v>0</v>
      </c>
      <c r="B9" s="260"/>
      <c r="C9" s="266" t="s">
        <v>558</v>
      </c>
      <c r="D9" s="261"/>
      <c r="E9" s="267" t="s">
        <v>559</v>
      </c>
      <c r="G9" s="267" t="s">
        <v>560</v>
      </c>
      <c r="H9" s="267" t="s">
        <v>561</v>
      </c>
      <c r="I9" s="267" t="s">
        <v>562</v>
      </c>
      <c r="J9" s="267" t="s">
        <v>563</v>
      </c>
      <c r="K9" s="267" t="s">
        <v>564</v>
      </c>
      <c r="L9" s="268"/>
      <c r="M9" s="267" t="s">
        <v>565</v>
      </c>
      <c r="N9" s="265" t="s">
        <v>566</v>
      </c>
      <c r="P9" s="267" t="s">
        <v>567</v>
      </c>
      <c r="Q9" s="267" t="s">
        <v>568</v>
      </c>
      <c r="R9" s="269"/>
      <c r="S9" s="267" t="s">
        <v>569</v>
      </c>
      <c r="T9" s="267" t="s">
        <v>570</v>
      </c>
    </row>
    <row r="10" spans="1:20">
      <c r="A10" s="257"/>
      <c r="B10" s="257"/>
      <c r="C10" s="260" t="s">
        <v>52</v>
      </c>
      <c r="E10" s="260" t="s">
        <v>53</v>
      </c>
      <c r="G10" s="260" t="s">
        <v>55</v>
      </c>
      <c r="H10" s="260" t="s">
        <v>56</v>
      </c>
      <c r="I10" s="260" t="s">
        <v>229</v>
      </c>
      <c r="J10" s="260" t="s">
        <v>445</v>
      </c>
      <c r="K10" s="260" t="s">
        <v>446</v>
      </c>
      <c r="M10" s="260" t="s">
        <v>447</v>
      </c>
      <c r="N10" s="260" t="s">
        <v>449</v>
      </c>
      <c r="P10" s="260" t="s">
        <v>450</v>
      </c>
      <c r="Q10" s="260" t="s">
        <v>571</v>
      </c>
      <c r="S10" s="260" t="s">
        <v>572</v>
      </c>
      <c r="T10" s="261" t="s">
        <v>573</v>
      </c>
    </row>
    <row r="11" spans="1:20">
      <c r="A11" s="257"/>
      <c r="B11" s="257"/>
      <c r="C11" s="270"/>
      <c r="E11" s="270"/>
      <c r="G11" s="270"/>
      <c r="H11" s="270"/>
      <c r="I11" s="270"/>
      <c r="J11" s="270"/>
      <c r="K11" s="270"/>
      <c r="M11" s="270"/>
      <c r="N11" s="260" t="s">
        <v>574</v>
      </c>
      <c r="P11" s="270"/>
      <c r="Q11" s="260"/>
      <c r="S11" s="261" t="s">
        <v>575</v>
      </c>
      <c r="T11" s="260" t="s">
        <v>576</v>
      </c>
    </row>
    <row r="12" spans="1:20">
      <c r="G12" s="261"/>
      <c r="H12" s="261"/>
      <c r="I12" s="261"/>
      <c r="J12" s="271"/>
    </row>
    <row r="13" spans="1:20">
      <c r="A13" s="260">
        <f>IF(ISNUMBER(E13),MAX(A$12:A12)+1,"" )</f>
        <v>1</v>
      </c>
      <c r="C13" s="252" t="s">
        <v>577</v>
      </c>
      <c r="E13" s="272">
        <v>661.2</v>
      </c>
      <c r="F13" s="273"/>
      <c r="G13" s="272">
        <v>1.74</v>
      </c>
      <c r="H13" s="272">
        <v>1.1200000000000001</v>
      </c>
      <c r="I13" s="272">
        <v>2.37</v>
      </c>
      <c r="J13" s="272">
        <v>1.0544008951999999</v>
      </c>
      <c r="K13" s="272">
        <v>1.1200000000000001</v>
      </c>
      <c r="L13" s="273"/>
      <c r="M13" s="272">
        <v>672.16671360000009</v>
      </c>
      <c r="N13" s="273">
        <f t="shared" ref="N13:N24" si="0">SUM(G13:M13)</f>
        <v>679.57111449520005</v>
      </c>
      <c r="O13" s="273"/>
      <c r="P13" s="272">
        <v>0.1592048952</v>
      </c>
      <c r="Q13" s="272">
        <v>0</v>
      </c>
      <c r="R13" s="273"/>
      <c r="S13" s="273">
        <f>N13-P13</f>
        <v>679.41190960000006</v>
      </c>
      <c r="T13" s="273">
        <f>N13+Q13</f>
        <v>679.57111449520005</v>
      </c>
    </row>
    <row r="14" spans="1:20">
      <c r="A14" s="260">
        <f>IF(ISNUMBER(E14),MAX(A$12:A13)+1,"" )</f>
        <v>2</v>
      </c>
      <c r="C14" s="252" t="s">
        <v>578</v>
      </c>
      <c r="E14" s="272">
        <v>729.98000000000025</v>
      </c>
      <c r="F14" s="273"/>
      <c r="G14" s="272">
        <v>2.92</v>
      </c>
      <c r="H14" s="272">
        <v>1.03</v>
      </c>
      <c r="I14" s="272">
        <v>2.371</v>
      </c>
      <c r="J14" s="272">
        <v>1.0736220176000002</v>
      </c>
      <c r="K14" s="272">
        <v>0.28999999999999998</v>
      </c>
      <c r="L14" s="273"/>
      <c r="M14" s="272">
        <v>746.11287360000028</v>
      </c>
      <c r="N14" s="273">
        <f t="shared" si="0"/>
        <v>753.79749561760025</v>
      </c>
      <c r="O14" s="273"/>
      <c r="P14" s="272">
        <v>0.16630451760000001</v>
      </c>
      <c r="Q14" s="272">
        <v>0</v>
      </c>
      <c r="R14" s="273"/>
      <c r="S14" s="273">
        <f t="shared" ref="S14:S24" si="1">N14-P14</f>
        <v>753.63119110000025</v>
      </c>
      <c r="T14" s="273">
        <f t="shared" ref="T14:T24" si="2">N14+Q14</f>
        <v>753.79749561760025</v>
      </c>
    </row>
    <row r="15" spans="1:20">
      <c r="A15" s="260">
        <f>IF(ISNUMBER(E15),MAX(A$12:A14)+1,"" )</f>
        <v>3</v>
      </c>
      <c r="C15" s="252" t="s">
        <v>579</v>
      </c>
      <c r="E15" s="272">
        <v>651.76</v>
      </c>
      <c r="F15" s="273"/>
      <c r="G15" s="272">
        <v>3.72</v>
      </c>
      <c r="H15" s="272">
        <v>1.77</v>
      </c>
      <c r="I15" s="272">
        <v>2.52</v>
      </c>
      <c r="J15" s="272">
        <v>18.804750686399998</v>
      </c>
      <c r="K15" s="272">
        <v>0.44</v>
      </c>
      <c r="L15" s="273"/>
      <c r="M15" s="272">
        <v>665.02773360000003</v>
      </c>
      <c r="N15" s="273">
        <f t="shared" si="0"/>
        <v>692.28248428640006</v>
      </c>
      <c r="O15" s="273"/>
      <c r="P15" s="272">
        <v>12.1860771864</v>
      </c>
      <c r="Q15" s="272">
        <v>0</v>
      </c>
      <c r="R15" s="273"/>
      <c r="S15" s="273">
        <f t="shared" si="1"/>
        <v>680.09640710000008</v>
      </c>
      <c r="T15" s="273">
        <f t="shared" si="2"/>
        <v>692.28248428640006</v>
      </c>
    </row>
    <row r="16" spans="1:20">
      <c r="A16" s="260">
        <f>IF(ISNUMBER(E16),MAX(A$12:A15)+1,"" )</f>
        <v>4</v>
      </c>
      <c r="C16" s="252" t="s">
        <v>580</v>
      </c>
      <c r="E16" s="272">
        <v>632.20399999999995</v>
      </c>
      <c r="F16" s="273"/>
      <c r="G16" s="272">
        <v>6.81</v>
      </c>
      <c r="H16" s="272">
        <v>1.38</v>
      </c>
      <c r="I16" s="272">
        <v>2.23</v>
      </c>
      <c r="J16" s="272">
        <v>21.6616143888</v>
      </c>
      <c r="K16" s="272">
        <v>0.39</v>
      </c>
      <c r="L16" s="273"/>
      <c r="M16" s="272">
        <v>627.39572399999997</v>
      </c>
      <c r="N16" s="273">
        <f t="shared" si="0"/>
        <v>659.86733838880002</v>
      </c>
      <c r="O16" s="273"/>
      <c r="P16" s="272">
        <v>14.683783888800001</v>
      </c>
      <c r="Q16" s="272">
        <v>0</v>
      </c>
      <c r="R16" s="273"/>
      <c r="S16" s="273">
        <f t="shared" si="1"/>
        <v>645.18355450000001</v>
      </c>
      <c r="T16" s="273">
        <f t="shared" si="2"/>
        <v>659.86733838880002</v>
      </c>
    </row>
    <row r="17" spans="1:20">
      <c r="A17" s="260">
        <f>IF(ISNUMBER(E17),MAX(A$12:A16)+1,"" )</f>
        <v>5</v>
      </c>
      <c r="C17" s="252" t="s">
        <v>581</v>
      </c>
      <c r="E17" s="272">
        <v>728.81200000000013</v>
      </c>
      <c r="F17" s="273"/>
      <c r="G17" s="272">
        <v>14.57</v>
      </c>
      <c r="H17" s="272">
        <v>0.96</v>
      </c>
      <c r="I17" s="272">
        <v>2.96</v>
      </c>
      <c r="J17" s="272">
        <v>26.843220352800003</v>
      </c>
      <c r="K17" s="272">
        <v>2.35</v>
      </c>
      <c r="L17" s="273"/>
      <c r="M17" s="272">
        <v>711.97600520000015</v>
      </c>
      <c r="N17" s="273">
        <f t="shared" si="0"/>
        <v>759.65922555280019</v>
      </c>
      <c r="O17" s="273"/>
      <c r="P17" s="272">
        <v>18.503700352800003</v>
      </c>
      <c r="Q17" s="272">
        <v>0</v>
      </c>
      <c r="R17" s="273"/>
      <c r="S17" s="273">
        <f t="shared" si="1"/>
        <v>741.15552520000017</v>
      </c>
      <c r="T17" s="273">
        <f>N17+Q17</f>
        <v>759.65922555280019</v>
      </c>
    </row>
    <row r="18" spans="1:20">
      <c r="A18" s="260">
        <f>IF(ISNUMBER(E18),MAX(A$12:A17)+1,"" )</f>
        <v>6</v>
      </c>
      <c r="C18" s="252" t="s">
        <v>582</v>
      </c>
      <c r="E18" s="272">
        <v>772.50199999999995</v>
      </c>
      <c r="F18" s="273"/>
      <c r="G18" s="272">
        <v>14.89</v>
      </c>
      <c r="H18" s="272">
        <v>1.1200000000000001</v>
      </c>
      <c r="I18" s="272">
        <v>4.07</v>
      </c>
      <c r="J18" s="272">
        <v>30.918152904799999</v>
      </c>
      <c r="K18" s="272">
        <v>1.87</v>
      </c>
      <c r="L18" s="273"/>
      <c r="M18" s="272">
        <v>747.41625439999996</v>
      </c>
      <c r="N18" s="273">
        <f t="shared" si="0"/>
        <v>800.28440730479997</v>
      </c>
      <c r="O18" s="273"/>
      <c r="P18" s="272">
        <v>21.568229404800004</v>
      </c>
      <c r="Q18" s="272">
        <v>0</v>
      </c>
      <c r="R18" s="273"/>
      <c r="S18" s="273">
        <f t="shared" si="1"/>
        <v>778.71617789999993</v>
      </c>
      <c r="T18" s="273">
        <f t="shared" si="2"/>
        <v>800.28440730479997</v>
      </c>
    </row>
    <row r="19" spans="1:20">
      <c r="A19" s="260">
        <f>IF(ISNUMBER(E19),MAX(A$12:A18)+1,"" )</f>
        <v>7</v>
      </c>
      <c r="C19" s="252" t="s">
        <v>583</v>
      </c>
      <c r="E19" s="272">
        <v>847.63300000000004</v>
      </c>
      <c r="F19" s="273"/>
      <c r="G19" s="272">
        <v>14.43</v>
      </c>
      <c r="H19" s="272">
        <v>1.31</v>
      </c>
      <c r="I19" s="272">
        <v>4.72</v>
      </c>
      <c r="J19" s="272">
        <v>33.6654725896</v>
      </c>
      <c r="K19" s="272">
        <v>1.23</v>
      </c>
      <c r="L19" s="273"/>
      <c r="M19" s="272">
        <v>819.35337960000004</v>
      </c>
      <c r="N19" s="273">
        <f t="shared" si="0"/>
        <v>874.70885218960007</v>
      </c>
      <c r="O19" s="273"/>
      <c r="P19" s="272">
        <v>23.493017589600001</v>
      </c>
      <c r="Q19" s="272">
        <v>0</v>
      </c>
      <c r="R19" s="273"/>
      <c r="S19" s="273">
        <f t="shared" si="1"/>
        <v>851.21583460000011</v>
      </c>
      <c r="T19" s="273">
        <f t="shared" si="2"/>
        <v>874.70885218960007</v>
      </c>
    </row>
    <row r="20" spans="1:20">
      <c r="A20" s="260">
        <f>IF(ISNUMBER(E20),MAX(A$12:A19)+1,"" )</f>
        <v>8</v>
      </c>
      <c r="C20" s="252" t="s">
        <v>584</v>
      </c>
      <c r="E20" s="272">
        <v>831.30199999999991</v>
      </c>
      <c r="F20" s="273"/>
      <c r="G20" s="272">
        <v>12.34</v>
      </c>
      <c r="H20" s="272">
        <v>1.23</v>
      </c>
      <c r="I20" s="272">
        <v>5.23</v>
      </c>
      <c r="J20" s="272">
        <v>32.766246353599996</v>
      </c>
      <c r="K20" s="272">
        <v>2.63</v>
      </c>
      <c r="L20" s="273"/>
      <c r="M20" s="272">
        <v>807.5234463999999</v>
      </c>
      <c r="N20" s="273">
        <f t="shared" si="0"/>
        <v>861.71969275359993</v>
      </c>
      <c r="O20" s="273"/>
      <c r="P20" s="272">
        <v>22.633019853600004</v>
      </c>
      <c r="Q20" s="272">
        <v>0</v>
      </c>
      <c r="R20" s="273"/>
      <c r="S20" s="273">
        <f t="shared" si="1"/>
        <v>839.08667289999994</v>
      </c>
      <c r="T20" s="273">
        <f t="shared" si="2"/>
        <v>861.71969275359993</v>
      </c>
    </row>
    <row r="21" spans="1:20">
      <c r="A21" s="260">
        <f>IF(ISNUMBER(E21),MAX(A$12:A20)+1,"" )</f>
        <v>9</v>
      </c>
      <c r="C21" s="252" t="s">
        <v>585</v>
      </c>
      <c r="E21" s="272">
        <v>701.54700000000003</v>
      </c>
      <c r="F21" s="273"/>
      <c r="G21" s="272">
        <v>12.92</v>
      </c>
      <c r="H21" s="272">
        <v>0.92</v>
      </c>
      <c r="I21" s="272">
        <v>5.05</v>
      </c>
      <c r="J21" s="272">
        <v>24.671565652799995</v>
      </c>
      <c r="K21" s="272">
        <v>1.68</v>
      </c>
      <c r="L21" s="273"/>
      <c r="M21" s="272">
        <v>681.73592800000017</v>
      </c>
      <c r="N21" s="273">
        <f t="shared" si="0"/>
        <v>726.97749365280015</v>
      </c>
      <c r="O21" s="273"/>
      <c r="P21" s="272">
        <v>17.284821652799998</v>
      </c>
      <c r="Q21" s="272">
        <v>0</v>
      </c>
      <c r="R21" s="273"/>
      <c r="S21" s="273">
        <f t="shared" si="1"/>
        <v>709.69267200000013</v>
      </c>
      <c r="T21" s="273">
        <f t="shared" si="2"/>
        <v>726.97749365280015</v>
      </c>
    </row>
    <row r="22" spans="1:20">
      <c r="A22" s="260">
        <f>IF(ISNUMBER(E22),MAX(A$12:A21)+1,"" )</f>
        <v>10</v>
      </c>
      <c r="C22" s="252" t="s">
        <v>586</v>
      </c>
      <c r="E22" s="272">
        <v>646.52900000000011</v>
      </c>
      <c r="F22" s="273"/>
      <c r="G22" s="272">
        <v>10.45</v>
      </c>
      <c r="H22" s="272">
        <v>0.74</v>
      </c>
      <c r="I22" s="272">
        <v>3.94</v>
      </c>
      <c r="J22" s="272">
        <v>18.145644807999997</v>
      </c>
      <c r="K22" s="272">
        <v>1.19</v>
      </c>
      <c r="L22" s="273"/>
      <c r="M22" s="272">
        <v>636.6546512000001</v>
      </c>
      <c r="N22" s="273">
        <f t="shared" si="0"/>
        <v>671.12029600800008</v>
      </c>
      <c r="O22" s="273"/>
      <c r="P22" s="272">
        <v>12.142418807999999</v>
      </c>
      <c r="Q22" s="272">
        <v>0</v>
      </c>
      <c r="R22" s="273"/>
      <c r="S22" s="273">
        <f t="shared" si="1"/>
        <v>658.97787720000008</v>
      </c>
      <c r="T22" s="273">
        <f>N22+Q22</f>
        <v>671.12029600800008</v>
      </c>
    </row>
    <row r="23" spans="1:20">
      <c r="A23" s="260">
        <f>IF(ISNUMBER(E23),MAX(A$12:A22)+1,"" )</f>
        <v>11</v>
      </c>
      <c r="C23" s="252" t="s">
        <v>587</v>
      </c>
      <c r="E23" s="272">
        <v>682.3</v>
      </c>
      <c r="F23" s="273"/>
      <c r="G23" s="272">
        <v>2.38</v>
      </c>
      <c r="H23" s="272">
        <v>0.76</v>
      </c>
      <c r="I23" s="272">
        <v>3.27</v>
      </c>
      <c r="J23" s="272">
        <v>1.1001378008</v>
      </c>
      <c r="K23" s="272">
        <v>0.1</v>
      </c>
      <c r="L23" s="273"/>
      <c r="M23" s="272">
        <v>693.99643359999993</v>
      </c>
      <c r="N23" s="273">
        <f t="shared" si="0"/>
        <v>701.60657140079991</v>
      </c>
      <c r="O23" s="273"/>
      <c r="P23" s="272">
        <v>0.17542930080000002</v>
      </c>
      <c r="Q23" s="272">
        <v>0</v>
      </c>
      <c r="R23" s="273"/>
      <c r="S23" s="273">
        <f t="shared" si="1"/>
        <v>701.43114209999987</v>
      </c>
      <c r="T23" s="273">
        <f t="shared" si="2"/>
        <v>701.60657140079991</v>
      </c>
    </row>
    <row r="24" spans="1:20">
      <c r="A24" s="260">
        <f>IF(ISNUMBER(E24),MAX(A$12:A23)+1,"" )</f>
        <v>12</v>
      </c>
      <c r="C24" s="252" t="s">
        <v>588</v>
      </c>
      <c r="E24" s="272">
        <v>707.44000000000028</v>
      </c>
      <c r="F24" s="273"/>
      <c r="G24" s="272">
        <v>2.58</v>
      </c>
      <c r="H24" s="272">
        <v>0.67</v>
      </c>
      <c r="I24" s="272">
        <v>2.13</v>
      </c>
      <c r="J24" s="272">
        <v>0.98922239519999988</v>
      </c>
      <c r="K24" s="272">
        <v>0.9</v>
      </c>
      <c r="L24" s="273"/>
      <c r="M24" s="272">
        <v>721.0494236000003</v>
      </c>
      <c r="N24" s="273">
        <f t="shared" si="0"/>
        <v>728.31864599520031</v>
      </c>
      <c r="O24" s="273"/>
      <c r="P24" s="272">
        <v>0.1723868952</v>
      </c>
      <c r="Q24" s="272">
        <v>0</v>
      </c>
      <c r="R24" s="273"/>
      <c r="S24" s="273">
        <f t="shared" si="1"/>
        <v>728.14625910000029</v>
      </c>
      <c r="T24" s="273">
        <f t="shared" si="2"/>
        <v>728.31864599520031</v>
      </c>
    </row>
    <row r="25" spans="1:20">
      <c r="A25" s="260">
        <f>IF(ISNUMBER(E25),MAX(A$12:A24)+1,"" )</f>
        <v>13</v>
      </c>
      <c r="C25" s="258" t="s">
        <v>589</v>
      </c>
      <c r="E25" s="274">
        <f>SUM(E13:E24)/12</f>
        <v>716.10075000000006</v>
      </c>
      <c r="F25" s="273"/>
      <c r="G25" s="274">
        <f>SUM(G13:G24)/12</f>
        <v>8.3125</v>
      </c>
      <c r="H25" s="274">
        <f>SUM(H13:H24)/12</f>
        <v>1.0841666666666667</v>
      </c>
      <c r="I25" s="274">
        <f>SUM(I13:I24)/12</f>
        <v>3.4050833333333337</v>
      </c>
      <c r="J25" s="274">
        <f>SUM(J13:J24)/12</f>
        <v>17.641170903799999</v>
      </c>
      <c r="K25" s="274">
        <f>SUM(K13:K24)/12</f>
        <v>1.1824999999999999</v>
      </c>
      <c r="L25" s="273"/>
      <c r="M25" s="274">
        <f>SUM(M13:M24)/12</f>
        <v>710.86738056666672</v>
      </c>
      <c r="N25" s="274">
        <f>AVERAGE(N13:N24)</f>
        <v>742.49280147046682</v>
      </c>
      <c r="O25" s="273"/>
      <c r="P25" s="274">
        <f>SUM(P13:P24)/12</f>
        <v>11.9306995288</v>
      </c>
      <c r="Q25" s="274">
        <f>SUM(Q13:Q24)/12</f>
        <v>0</v>
      </c>
      <c r="R25" s="273"/>
      <c r="S25" s="274">
        <f>SUM(S13:S24)/12</f>
        <v>730.56210194166681</v>
      </c>
      <c r="T25" s="274">
        <f>SUM(T13:T24)/12</f>
        <v>742.49280147046682</v>
      </c>
    </row>
    <row r="26" spans="1:20">
      <c r="G26" s="275"/>
      <c r="H26" s="275"/>
      <c r="I26" s="275"/>
      <c r="J26" s="276"/>
    </row>
    <row r="27" spans="1:20">
      <c r="A27" s="270" t="s">
        <v>207</v>
      </c>
      <c r="B27" s="257"/>
      <c r="C27" s="257"/>
      <c r="G27" s="275"/>
      <c r="H27" s="275"/>
      <c r="I27" s="275"/>
    </row>
    <row r="28" spans="1:20">
      <c r="A28" s="270" t="s">
        <v>208</v>
      </c>
      <c r="C28" s="252" t="s">
        <v>590</v>
      </c>
      <c r="G28" s="275"/>
      <c r="H28" s="275"/>
      <c r="I28" s="275"/>
      <c r="J28" s="275"/>
    </row>
    <row r="29" spans="1:20">
      <c r="G29" s="275"/>
      <c r="H29" s="275"/>
      <c r="I29" s="275"/>
      <c r="J29" s="275"/>
    </row>
    <row r="30" spans="1:20">
      <c r="A30" s="270" t="s">
        <v>211</v>
      </c>
      <c r="C30" s="252" t="s">
        <v>591</v>
      </c>
      <c r="E30" s="128"/>
      <c r="G30" s="275"/>
      <c r="H30" s="275"/>
      <c r="I30" s="275"/>
      <c r="J30" s="275"/>
    </row>
    <row r="31" spans="1:20">
      <c r="G31" s="275"/>
      <c r="H31" s="275"/>
      <c r="I31" s="275"/>
      <c r="J31" s="275"/>
    </row>
    <row r="32" spans="1:20">
      <c r="G32" s="275"/>
      <c r="H32" s="275"/>
      <c r="I32" s="275"/>
      <c r="J32" s="275"/>
    </row>
    <row r="33" spans="7:11">
      <c r="G33" s="275"/>
      <c r="H33" s="275"/>
      <c r="I33" s="275"/>
      <c r="J33" s="275"/>
    </row>
    <row r="34" spans="7:11">
      <c r="G34" s="275"/>
      <c r="H34" s="275"/>
      <c r="I34" s="275"/>
      <c r="J34" s="275"/>
    </row>
    <row r="35" spans="7:11">
      <c r="G35" s="275"/>
      <c r="H35" s="275"/>
      <c r="I35" s="275"/>
      <c r="J35" s="275"/>
    </row>
    <row r="36" spans="7:11">
      <c r="G36" s="275"/>
      <c r="H36" s="275"/>
      <c r="I36" s="275"/>
      <c r="J36" s="275"/>
      <c r="K36" s="277"/>
    </row>
    <row r="37" spans="7:11">
      <c r="G37" s="275"/>
      <c r="H37" s="275"/>
      <c r="I37" s="275"/>
      <c r="J37" s="275"/>
    </row>
    <row r="38" spans="7:11">
      <c r="G38" s="275"/>
      <c r="H38" s="275"/>
      <c r="I38" s="275"/>
      <c r="J38" s="275"/>
    </row>
    <row r="39" spans="7:11">
      <c r="G39" s="275"/>
      <c r="H39" s="275"/>
      <c r="I39" s="275"/>
      <c r="J39" s="275"/>
    </row>
    <row r="40" spans="7:11">
      <c r="G40" s="275"/>
      <c r="H40" s="275"/>
      <c r="I40" s="275"/>
      <c r="J40" s="275"/>
    </row>
    <row r="41" spans="7:11">
      <c r="G41" s="275"/>
      <c r="H41" s="275"/>
      <c r="I41" s="275"/>
      <c r="J41" s="275"/>
    </row>
    <row r="42" spans="7:11">
      <c r="G42" s="275"/>
      <c r="H42" s="275"/>
      <c r="I42" s="275"/>
      <c r="J42" s="275"/>
    </row>
    <row r="43" spans="7:11">
      <c r="G43" s="275"/>
      <c r="H43" s="275"/>
      <c r="I43" s="275"/>
      <c r="J43" s="275"/>
    </row>
    <row r="44" spans="7:11">
      <c r="G44" s="275"/>
      <c r="H44" s="275"/>
      <c r="I44" s="275"/>
      <c r="J44" s="275"/>
    </row>
    <row r="45" spans="7:11">
      <c r="G45" s="275"/>
      <c r="H45" s="275"/>
      <c r="I45" s="275"/>
      <c r="J45" s="275"/>
    </row>
    <row r="46" spans="7:11">
      <c r="G46" s="275"/>
      <c r="H46" s="275"/>
      <c r="I46" s="275"/>
      <c r="J46" s="275"/>
    </row>
    <row r="47" spans="7:11">
      <c r="G47" s="275"/>
      <c r="H47" s="275"/>
      <c r="I47" s="275"/>
      <c r="J47" s="275"/>
    </row>
    <row r="48" spans="7:11">
      <c r="G48" s="275"/>
      <c r="H48" s="275"/>
      <c r="I48" s="275"/>
      <c r="J48" s="275"/>
    </row>
    <row r="49" spans="7:10">
      <c r="G49" s="275"/>
      <c r="H49" s="275"/>
      <c r="I49" s="275"/>
      <c r="J49" s="275"/>
    </row>
    <row r="50" spans="7:10">
      <c r="G50" s="275"/>
      <c r="H50" s="275"/>
      <c r="I50" s="275"/>
      <c r="J50" s="275"/>
    </row>
    <row r="51" spans="7:10">
      <c r="G51" s="275"/>
      <c r="H51" s="275"/>
      <c r="I51" s="275"/>
      <c r="J51" s="275"/>
    </row>
    <row r="52" spans="7:10">
      <c r="G52" s="275"/>
      <c r="H52" s="275"/>
      <c r="I52" s="275"/>
      <c r="J52" s="275"/>
    </row>
    <row r="53" spans="7:10">
      <c r="G53" s="275"/>
      <c r="H53" s="275"/>
      <c r="I53" s="275"/>
      <c r="J53" s="275"/>
    </row>
    <row r="54" spans="7:10">
      <c r="G54" s="275"/>
      <c r="H54" s="275"/>
      <c r="I54" s="275"/>
      <c r="J54" s="275"/>
    </row>
    <row r="55" spans="7:10">
      <c r="G55" s="275"/>
      <c r="H55" s="275"/>
      <c r="I55" s="275"/>
      <c r="J55" s="275"/>
    </row>
    <row r="56" spans="7:10">
      <c r="G56" s="275"/>
      <c r="H56" s="275"/>
      <c r="I56" s="275"/>
      <c r="J56" s="275"/>
    </row>
    <row r="57" spans="7:10">
      <c r="G57" s="275"/>
      <c r="H57" s="275"/>
      <c r="I57" s="275"/>
      <c r="J57" s="275"/>
    </row>
    <row r="58" spans="7:10">
      <c r="G58" s="275"/>
      <c r="H58" s="275"/>
      <c r="I58" s="275"/>
      <c r="J58" s="275"/>
    </row>
    <row r="59" spans="7:10">
      <c r="G59" s="275"/>
      <c r="H59" s="275"/>
      <c r="I59" s="275"/>
      <c r="J59" s="275"/>
    </row>
    <row r="60" spans="7:10">
      <c r="G60" s="275"/>
      <c r="H60" s="275"/>
      <c r="I60" s="275"/>
      <c r="J60" s="275"/>
    </row>
    <row r="61" spans="7:10">
      <c r="G61" s="275"/>
      <c r="H61" s="275"/>
      <c r="I61" s="275"/>
      <c r="J61" s="275"/>
    </row>
    <row r="62" spans="7:10">
      <c r="G62" s="275"/>
      <c r="H62" s="275"/>
      <c r="I62" s="275"/>
      <c r="J62" s="275"/>
    </row>
    <row r="63" spans="7:10">
      <c r="G63" s="275"/>
      <c r="H63" s="275"/>
      <c r="I63" s="275"/>
      <c r="J63" s="275"/>
    </row>
    <row r="64" spans="7:10">
      <c r="G64" s="275"/>
      <c r="H64" s="275"/>
      <c r="I64" s="275"/>
      <c r="J64" s="275"/>
    </row>
    <row r="65" spans="7:10">
      <c r="G65" s="275"/>
      <c r="H65" s="275"/>
      <c r="I65" s="275"/>
      <c r="J65" s="275"/>
    </row>
    <row r="66" spans="7:10">
      <c r="G66" s="275"/>
      <c r="H66" s="275"/>
      <c r="I66" s="275"/>
      <c r="J66" s="275"/>
    </row>
    <row r="67" spans="7:10">
      <c r="G67" s="275"/>
      <c r="H67" s="275"/>
      <c r="I67" s="275"/>
      <c r="J67" s="275"/>
    </row>
  </sheetData>
  <mergeCells count="1">
    <mergeCell ref="S8:T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3DBD-5382-4C2F-9B19-17E218ACF329}">
  <dimension ref="A1:D97"/>
  <sheetViews>
    <sheetView zoomScale="90" zoomScaleNormal="90" workbookViewId="0">
      <selection activeCell="E26" sqref="E26"/>
    </sheetView>
  </sheetViews>
  <sheetFormatPr defaultRowHeight="18.75"/>
  <cols>
    <col min="1" max="1" width="86.6640625" customWidth="1"/>
    <col min="2" max="2" width="12.109375" bestFit="1" customWidth="1"/>
  </cols>
  <sheetData>
    <row r="1" spans="1:4" ht="23.25">
      <c r="A1" s="94" t="s">
        <v>592</v>
      </c>
      <c r="B1" t="s">
        <v>106</v>
      </c>
    </row>
    <row r="2" spans="1:4" ht="23.25">
      <c r="A2" s="94"/>
      <c r="B2" s="173" t="s">
        <v>593</v>
      </c>
    </row>
    <row r="3" spans="1:4">
      <c r="A3" t="s">
        <v>594</v>
      </c>
    </row>
    <row r="4" spans="1:4">
      <c r="A4" t="s">
        <v>595</v>
      </c>
    </row>
    <row r="5" spans="1:4">
      <c r="A5" t="s">
        <v>596</v>
      </c>
    </row>
    <row r="6" spans="1:4">
      <c r="A6" t="s">
        <v>597</v>
      </c>
    </row>
    <row r="7" spans="1:4">
      <c r="A7" t="s">
        <v>598</v>
      </c>
    </row>
    <row r="8" spans="1:4">
      <c r="A8" t="s">
        <v>599</v>
      </c>
    </row>
    <row r="9" spans="1:4">
      <c r="A9" t="s">
        <v>600</v>
      </c>
    </row>
    <row r="10" spans="1:4">
      <c r="A10" t="s">
        <v>601</v>
      </c>
    </row>
    <row r="11" spans="1:4">
      <c r="A11" t="s">
        <v>602</v>
      </c>
    </row>
    <row r="13" spans="1:4">
      <c r="A13" t="s">
        <v>603</v>
      </c>
      <c r="B13" s="87">
        <f>'Cost of Service Factors-Exh. I'!E20</f>
        <v>2.5099999999999998</v>
      </c>
      <c r="C13" s="40"/>
    </row>
    <row r="14" spans="1:4">
      <c r="A14" t="s">
        <v>604</v>
      </c>
      <c r="B14" s="197">
        <v>1.9</v>
      </c>
    </row>
    <row r="15" spans="1:4" ht="19.5" thickBot="1">
      <c r="A15" t="s">
        <v>605</v>
      </c>
      <c r="B15" s="198">
        <f>B13-B14</f>
        <v>0.60999999999999988</v>
      </c>
      <c r="D15" s="87"/>
    </row>
    <row r="16" spans="1:4" ht="19.5" thickTop="1">
      <c r="B16" s="97"/>
    </row>
    <row r="17" spans="1:2">
      <c r="A17" t="s">
        <v>606</v>
      </c>
      <c r="B17" s="81">
        <f>'Comparison to 2017 COSA'!C49</f>
        <v>21487907.699999999</v>
      </c>
    </row>
    <row r="18" spans="1:2">
      <c r="A18" t="s">
        <v>607</v>
      </c>
      <c r="B18" s="82">
        <f>'Comparison to 2017 COSA'!D49</f>
        <v>18099953</v>
      </c>
    </row>
    <row r="19" spans="1:2" ht="19.5" thickBot="1">
      <c r="A19" t="s">
        <v>605</v>
      </c>
      <c r="B19" s="95">
        <f>B17-B18</f>
        <v>3387954.6999999993</v>
      </c>
    </row>
    <row r="20" spans="1:2" ht="19.5" thickTop="1">
      <c r="B20" s="81"/>
    </row>
    <row r="21" spans="1:2" ht="19.5" thickBot="1">
      <c r="A21" t="s">
        <v>608</v>
      </c>
      <c r="B21" s="89">
        <f>ROUND(B19/B89/1000,2)</f>
        <v>0.34</v>
      </c>
    </row>
    <row r="22" spans="1:2" ht="19.5" thickTop="1">
      <c r="B22" s="81"/>
    </row>
    <row r="23" spans="1:2">
      <c r="A23" s="96" t="s">
        <v>609</v>
      </c>
      <c r="B23" s="81"/>
    </row>
    <row r="25" spans="1:2">
      <c r="A25" s="96" t="s">
        <v>610</v>
      </c>
    </row>
    <row r="26" spans="1:2">
      <c r="A26" t="s">
        <v>611</v>
      </c>
    </row>
    <row r="27" spans="1:2">
      <c r="A27" t="s">
        <v>612</v>
      </c>
    </row>
    <row r="28" spans="1:2">
      <c r="A28" t="s">
        <v>613</v>
      </c>
      <c r="B28" s="81">
        <f>'Comparison to 2017 COSA'!C15</f>
        <v>10686042.699999999</v>
      </c>
    </row>
    <row r="29" spans="1:2">
      <c r="A29" t="s">
        <v>614</v>
      </c>
      <c r="B29" s="82">
        <f>'Comparison to 2017 COSA'!D15</f>
        <v>6359279</v>
      </c>
    </row>
    <row r="30" spans="1:2" ht="19.5" thickBot="1">
      <c r="A30" t="s">
        <v>605</v>
      </c>
      <c r="B30" s="95">
        <f>B28-B29</f>
        <v>4326763.6999999993</v>
      </c>
    </row>
    <row r="31" spans="1:2" ht="19.5" thickTop="1"/>
    <row r="32" spans="1:2">
      <c r="A32" t="s">
        <v>615</v>
      </c>
    </row>
    <row r="33" spans="1:2">
      <c r="A33" t="s">
        <v>616</v>
      </c>
    </row>
    <row r="34" spans="1:2">
      <c r="A34" t="s">
        <v>617</v>
      </c>
    </row>
    <row r="35" spans="1:2">
      <c r="A35" t="s">
        <v>618</v>
      </c>
    </row>
    <row r="36" spans="1:2">
      <c r="A36" t="s">
        <v>619</v>
      </c>
    </row>
    <row r="38" spans="1:2">
      <c r="A38" s="96" t="s">
        <v>620</v>
      </c>
    </row>
    <row r="39" spans="1:2">
      <c r="A39" t="s">
        <v>621</v>
      </c>
    </row>
    <row r="40" spans="1:2">
      <c r="A40" t="s">
        <v>622</v>
      </c>
    </row>
    <row r="41" spans="1:2">
      <c r="A41" t="s">
        <v>623</v>
      </c>
      <c r="B41" s="81">
        <f>'Comparison to 2017 COSA'!C23</f>
        <v>5301714</v>
      </c>
    </row>
    <row r="42" spans="1:2">
      <c r="A42" t="s">
        <v>624</v>
      </c>
      <c r="B42" s="82">
        <f>'Comparison to 2017 COSA'!D23</f>
        <v>0</v>
      </c>
    </row>
    <row r="43" spans="1:2" ht="19.5" thickBot="1">
      <c r="A43" t="s">
        <v>605</v>
      </c>
      <c r="B43" s="84">
        <f>B41-B42</f>
        <v>5301714</v>
      </c>
    </row>
    <row r="44" spans="1:2" ht="19.5" thickTop="1"/>
    <row r="45" spans="1:2">
      <c r="A45" s="96" t="s">
        <v>126</v>
      </c>
    </row>
    <row r="46" spans="1:2">
      <c r="A46" t="s">
        <v>625</v>
      </c>
    </row>
    <row r="47" spans="1:2">
      <c r="A47" t="s">
        <v>626</v>
      </c>
    </row>
    <row r="48" spans="1:2">
      <c r="A48" t="s">
        <v>627</v>
      </c>
      <c r="B48" s="81">
        <f>'Comparison to 2017 COSA'!C30</f>
        <v>0</v>
      </c>
    </row>
    <row r="49" spans="1:2">
      <c r="A49" t="s">
        <v>628</v>
      </c>
      <c r="B49" s="82">
        <f>'Comparison to 2017 COSA'!D30</f>
        <v>0</v>
      </c>
    </row>
    <row r="50" spans="1:2" ht="19.5" thickBot="1">
      <c r="A50" t="s">
        <v>605</v>
      </c>
      <c r="B50" s="95">
        <f>B48-B49</f>
        <v>0</v>
      </c>
    </row>
    <row r="51" spans="1:2" ht="19.5" thickTop="1"/>
    <row r="52" spans="1:2">
      <c r="A52" t="s">
        <v>629</v>
      </c>
    </row>
    <row r="53" spans="1:2">
      <c r="A53" t="s">
        <v>630</v>
      </c>
    </row>
    <row r="54" spans="1:2">
      <c r="A54" t="s">
        <v>631</v>
      </c>
    </row>
    <row r="56" spans="1:2">
      <c r="A56" s="96" t="s">
        <v>632</v>
      </c>
    </row>
    <row r="57" spans="1:2">
      <c r="A57" t="s">
        <v>633</v>
      </c>
    </row>
    <row r="58" spans="1:2">
      <c r="A58" t="s">
        <v>634</v>
      </c>
    </row>
    <row r="59" spans="1:2">
      <c r="A59" t="s">
        <v>635</v>
      </c>
      <c r="B59" s="81">
        <f>'Comparison to 2017 COSA'!C32</f>
        <v>5915147</v>
      </c>
    </row>
    <row r="60" spans="1:2">
      <c r="A60" t="s">
        <v>636</v>
      </c>
      <c r="B60" s="82">
        <f>'Comparison to 2017 COSA'!D32</f>
        <v>19002613</v>
      </c>
    </row>
    <row r="61" spans="1:2" ht="19.5" thickBot="1">
      <c r="A61" t="s">
        <v>605</v>
      </c>
      <c r="B61" s="95">
        <f>B59-B60</f>
        <v>-13087466</v>
      </c>
    </row>
    <row r="62" spans="1:2" ht="19.5" thickTop="1">
      <c r="B62" s="81"/>
    </row>
    <row r="63" spans="1:2">
      <c r="A63" t="s">
        <v>637</v>
      </c>
      <c r="B63" s="81"/>
    </row>
    <row r="64" spans="1:2">
      <c r="A64" t="s">
        <v>638</v>
      </c>
      <c r="B64" s="81"/>
    </row>
    <row r="65" spans="1:2">
      <c r="A65" t="s">
        <v>639</v>
      </c>
      <c r="B65" s="81"/>
    </row>
    <row r="66" spans="1:2">
      <c r="B66" s="81"/>
    </row>
    <row r="67" spans="1:2">
      <c r="A67" s="96" t="s">
        <v>132</v>
      </c>
      <c r="B67" s="81"/>
    </row>
    <row r="68" spans="1:2">
      <c r="A68" t="s">
        <v>640</v>
      </c>
      <c r="B68" s="81">
        <f>'Comparison to 2017 COSA'!C39</f>
        <v>-414996</v>
      </c>
    </row>
    <row r="69" spans="1:2">
      <c r="A69" t="s">
        <v>641</v>
      </c>
      <c r="B69" s="81">
        <f>'Comparison to 2017 COSA'!D39</f>
        <v>-547513</v>
      </c>
    </row>
    <row r="70" spans="1:2" ht="19.5" thickBot="1">
      <c r="A70" t="s">
        <v>605</v>
      </c>
      <c r="B70" s="95">
        <f>B68-B69</f>
        <v>132517</v>
      </c>
    </row>
    <row r="71" spans="1:2" ht="19.5" thickTop="1">
      <c r="B71" s="81"/>
    </row>
    <row r="72" spans="1:2">
      <c r="A72" t="s">
        <v>642</v>
      </c>
    </row>
    <row r="73" spans="1:2">
      <c r="A73" t="s">
        <v>643</v>
      </c>
    </row>
    <row r="74" spans="1:2">
      <c r="A74" s="96" t="s">
        <v>37</v>
      </c>
    </row>
    <row r="75" spans="1:2">
      <c r="A75" s="81" t="s">
        <v>644</v>
      </c>
      <c r="B75" s="81">
        <f>'Comparison to 2017 COSA'!E42</f>
        <v>-542905</v>
      </c>
    </row>
    <row r="76" spans="1:2">
      <c r="A76" s="81" t="s">
        <v>645</v>
      </c>
      <c r="B76" s="81">
        <f>'Comparison to 2017 COSA'!E43</f>
        <v>-5526618</v>
      </c>
    </row>
    <row r="77" spans="1:2">
      <c r="A77" s="81" t="s">
        <v>646</v>
      </c>
      <c r="B77" s="81">
        <f>'Comparison to 2017 COSA'!E44</f>
        <v>7257331</v>
      </c>
    </row>
    <row r="78" spans="1:2">
      <c r="A78" s="81" t="s">
        <v>647</v>
      </c>
      <c r="B78" s="81">
        <f>'Comparison to 2017 COSA'!E45</f>
        <v>0</v>
      </c>
    </row>
    <row r="79" spans="1:2">
      <c r="A79" s="81" t="s">
        <v>648</v>
      </c>
      <c r="B79" s="82">
        <f>'Comparison to 2017 COSA'!E46</f>
        <v>5526618</v>
      </c>
    </row>
    <row r="81" spans="1:4">
      <c r="A81" s="81" t="s">
        <v>649</v>
      </c>
      <c r="B81" s="82">
        <f>SUM(B75:B79)</f>
        <v>6714426</v>
      </c>
    </row>
    <row r="83" spans="1:4" ht="19.5" thickBot="1">
      <c r="A83" s="81" t="s">
        <v>650</v>
      </c>
      <c r="B83" s="84">
        <f>B30+B43+B61+B50+B81+B70</f>
        <v>3387954.6999999993</v>
      </c>
      <c r="D83" s="81"/>
    </row>
    <row r="84" spans="1:4" ht="19.5" thickTop="1"/>
    <row r="85" spans="1:4">
      <c r="A85" t="s">
        <v>651</v>
      </c>
    </row>
    <row r="86" spans="1:4">
      <c r="A86" t="s">
        <v>652</v>
      </c>
    </row>
    <row r="87" spans="1:4">
      <c r="A87" t="s">
        <v>653</v>
      </c>
    </row>
    <row r="88" spans="1:4">
      <c r="A88" t="s">
        <v>654</v>
      </c>
      <c r="B88" s="81">
        <f>'Cost of Service Factors-Exh. I'!D16*12</f>
        <v>8909.9136176456013</v>
      </c>
    </row>
    <row r="89" spans="1:4">
      <c r="A89" t="s">
        <v>655</v>
      </c>
      <c r="B89" s="82">
        <f>'2015 COSA'!F10</f>
        <v>9912</v>
      </c>
    </row>
    <row r="90" spans="1:4" ht="19.5" thickBot="1">
      <c r="A90" t="s">
        <v>605</v>
      </c>
      <c r="B90" s="84">
        <f>B88-B89</f>
        <v>-1002.0863823543987</v>
      </c>
    </row>
    <row r="91" spans="1:4" ht="19.5" thickTop="1"/>
    <row r="92" spans="1:4">
      <c r="A92" t="s">
        <v>656</v>
      </c>
    </row>
    <row r="93" spans="1:4">
      <c r="A93" t="s">
        <v>657</v>
      </c>
    </row>
    <row r="94" spans="1:4">
      <c r="A94" t="s">
        <v>658</v>
      </c>
      <c r="B94" s="97">
        <f>ROUND('Cost of Service Factors-Exh. I'!D13/B88/1000,2)</f>
        <v>2.41</v>
      </c>
    </row>
    <row r="95" spans="1:4">
      <c r="A95" t="s">
        <v>659</v>
      </c>
      <c r="B95" s="98">
        <f>ROUND('Cost of Service Factors-Exh. I'!D13/B89/1000,2)</f>
        <v>2.17</v>
      </c>
    </row>
    <row r="96" spans="1:4" ht="19.5" thickBot="1">
      <c r="A96" t="s">
        <v>660</v>
      </c>
      <c r="B96" s="99">
        <f>B94-B95</f>
        <v>0.24000000000000021</v>
      </c>
    </row>
    <row r="97" ht="19.5" thickTop="1"/>
  </sheetData>
  <pageMargins left="0" right="0" top="0" bottom="0" header="0" footer="0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A45A-0563-42F5-9067-6C3261E404F2}">
  <dimension ref="A1:J84"/>
  <sheetViews>
    <sheetView workbookViewId="0">
      <selection activeCell="C10" sqref="C10"/>
    </sheetView>
  </sheetViews>
  <sheetFormatPr defaultColWidth="8.88671875" defaultRowHeight="18.75"/>
  <cols>
    <col min="1" max="1" width="8.88671875" style="11"/>
    <col min="2" max="2" width="40.5546875" style="11" bestFit="1" customWidth="1"/>
    <col min="3" max="3" width="14.109375" style="11" bestFit="1" customWidth="1"/>
    <col min="4" max="5" width="14.109375" style="11" customWidth="1"/>
    <col min="6" max="6" width="7" style="11" customWidth="1"/>
    <col min="7" max="7" width="14.5546875" style="11" bestFit="1" customWidth="1"/>
    <col min="8" max="9" width="12.77734375" style="11" customWidth="1"/>
    <col min="10" max="10" width="14.5546875" style="11" bestFit="1" customWidth="1"/>
    <col min="11" max="11" width="8.88671875" style="11"/>
    <col min="12" max="12" width="13.6640625" style="11" bestFit="1" customWidth="1"/>
    <col min="13" max="16384" width="8.88671875" style="11"/>
  </cols>
  <sheetData>
    <row r="1" spans="1:9">
      <c r="A1" s="52" t="s">
        <v>661</v>
      </c>
    </row>
    <row r="2" spans="1:9">
      <c r="C2" s="100" t="s">
        <v>104</v>
      </c>
      <c r="D2" s="100"/>
      <c r="E2" s="100"/>
      <c r="F2"/>
      <c r="G2"/>
      <c r="H2"/>
      <c r="I2"/>
    </row>
    <row r="3" spans="1:9">
      <c r="C3" s="80" t="s">
        <v>662</v>
      </c>
      <c r="D3" s="80" t="s">
        <v>663</v>
      </c>
      <c r="G3" s="28" t="s">
        <v>662</v>
      </c>
      <c r="H3" s="80" t="s">
        <v>663</v>
      </c>
    </row>
    <row r="4" spans="1:9">
      <c r="C4" s="28" t="s">
        <v>106</v>
      </c>
      <c r="D4" s="28" t="s">
        <v>106</v>
      </c>
      <c r="E4"/>
      <c r="F4"/>
      <c r="G4" s="28" t="s">
        <v>107</v>
      </c>
      <c r="H4" s="28" t="s">
        <v>107</v>
      </c>
      <c r="I4"/>
    </row>
    <row r="5" spans="1:9">
      <c r="A5" s="28" t="s">
        <v>45</v>
      </c>
      <c r="B5" s="28"/>
      <c r="C5" s="28" t="s">
        <v>109</v>
      </c>
      <c r="D5" s="28" t="s">
        <v>109</v>
      </c>
      <c r="E5" s="28"/>
      <c r="F5" s="28"/>
      <c r="G5" s="28" t="s">
        <v>109</v>
      </c>
      <c r="H5" s="28" t="s">
        <v>109</v>
      </c>
      <c r="I5" s="28"/>
    </row>
    <row r="6" spans="1:9">
      <c r="A6" s="29" t="s">
        <v>47</v>
      </c>
      <c r="B6" s="33" t="s">
        <v>48</v>
      </c>
      <c r="C6" s="29" t="s">
        <v>664</v>
      </c>
      <c r="D6" s="29" t="s">
        <v>665</v>
      </c>
      <c r="E6" s="29" t="s">
        <v>605</v>
      </c>
      <c r="F6"/>
      <c r="G6" s="29" t="s">
        <v>664</v>
      </c>
      <c r="H6" s="29" t="s">
        <v>665</v>
      </c>
      <c r="I6" s="29" t="s">
        <v>605</v>
      </c>
    </row>
    <row r="7" spans="1:9">
      <c r="C7" s="28">
        <v>-1</v>
      </c>
      <c r="D7" s="28">
        <v>-2</v>
      </c>
      <c r="E7" s="28">
        <v>-3</v>
      </c>
      <c r="F7"/>
      <c r="G7" s="28">
        <v>-4</v>
      </c>
      <c r="H7" s="28">
        <v>-5</v>
      </c>
      <c r="I7" s="28">
        <v>-6</v>
      </c>
    </row>
    <row r="8" spans="1:9">
      <c r="C8" s="28" t="s">
        <v>3</v>
      </c>
      <c r="D8" s="28" t="s">
        <v>3</v>
      </c>
      <c r="E8" s="28" t="s">
        <v>3</v>
      </c>
      <c r="F8"/>
      <c r="G8" s="28" t="s">
        <v>3</v>
      </c>
      <c r="H8" s="28" t="s">
        <v>3</v>
      </c>
      <c r="I8" s="28" t="s">
        <v>3</v>
      </c>
    </row>
    <row r="9" spans="1:9">
      <c r="B9" s="32" t="s">
        <v>111</v>
      </c>
      <c r="F9"/>
    </row>
    <row r="10" spans="1:9">
      <c r="A10" s="37">
        <f>IF(ISNUMBER(D10),MAX(A$8:A9)+1,"")</f>
        <v>1</v>
      </c>
      <c r="B10" s="30" t="s">
        <v>112</v>
      </c>
      <c r="C10" s="11">
        <f>'Cost of Service-Exh. II'!D10</f>
        <v>6097745.6999999993</v>
      </c>
      <c r="D10" s="11">
        <f>'2015 COSA'!C7</f>
        <v>3083165</v>
      </c>
      <c r="E10" s="11">
        <f>C10-D10</f>
        <v>3014580.6999999993</v>
      </c>
      <c r="F10"/>
      <c r="G10" s="11">
        <f>'Cost of Service-Exh. II'!E10</f>
        <v>0</v>
      </c>
      <c r="H10" s="11">
        <v>0</v>
      </c>
      <c r="I10" s="11">
        <f>G10-H10</f>
        <v>0</v>
      </c>
    </row>
    <row r="11" spans="1:9">
      <c r="A11" s="37">
        <f>IF(ISNUMBER(D11),MAX(A$8:A10)+1,"")</f>
        <v>2</v>
      </c>
      <c r="B11" s="30" t="s">
        <v>113</v>
      </c>
      <c r="C11" s="11">
        <f>'Cost of Service-Exh. II'!D11</f>
        <v>0</v>
      </c>
      <c r="D11" s="11">
        <v>0</v>
      </c>
      <c r="E11" s="11">
        <f t="shared" ref="E11:E13" si="0">C11-D11</f>
        <v>0</v>
      </c>
      <c r="F11"/>
      <c r="G11" s="11">
        <f>'Cost of Service-Exh. II'!E11</f>
        <v>13561222.210000003</v>
      </c>
      <c r="H11" s="11">
        <f>'2015 COSA'!D7</f>
        <v>11324518</v>
      </c>
      <c r="I11" s="11">
        <f t="shared" ref="I11:I13" si="1">G11-H11</f>
        <v>2236704.2100000028</v>
      </c>
    </row>
    <row r="12" spans="1:9">
      <c r="A12" s="37">
        <f>IF(ISNUMBER(D12),MAX(A$8:A11)+1,"")</f>
        <v>3</v>
      </c>
      <c r="B12" s="30" t="s">
        <v>666</v>
      </c>
      <c r="C12" s="11">
        <f>'Cost of Service-Exh. II'!D12</f>
        <v>4520798</v>
      </c>
      <c r="D12" s="11">
        <f>'2015 COSA'!C9</f>
        <v>3276114</v>
      </c>
      <c r="E12" s="11">
        <f t="shared" si="0"/>
        <v>1244684</v>
      </c>
      <c r="F12"/>
      <c r="G12" s="11">
        <f>'Cost of Service-Exh. II'!E12</f>
        <v>6921123</v>
      </c>
      <c r="H12" s="11">
        <f>'2015 COSA'!D9</f>
        <v>8950571</v>
      </c>
      <c r="I12" s="11">
        <f t="shared" si="1"/>
        <v>-2029448</v>
      </c>
    </row>
    <row r="13" spans="1:9">
      <c r="A13" s="37">
        <f>IF(ISNUMBER(D13),MAX(A$8:A12)+1,"")</f>
        <v>4</v>
      </c>
      <c r="B13" s="30" t="s">
        <v>667</v>
      </c>
      <c r="C13" s="19">
        <f>'Cost of Service-Exh. II'!D13</f>
        <v>67499</v>
      </c>
      <c r="D13" s="19">
        <v>0</v>
      </c>
      <c r="E13" s="19">
        <f t="shared" si="0"/>
        <v>67499</v>
      </c>
      <c r="F13"/>
      <c r="G13" s="19">
        <f>'Cost of Service-Exh. II'!E13</f>
        <v>189795</v>
      </c>
      <c r="H13" s="19"/>
      <c r="I13" s="19">
        <f t="shared" si="1"/>
        <v>189795</v>
      </c>
    </row>
    <row r="14" spans="1:9">
      <c r="B14" s="30"/>
      <c r="F14"/>
    </row>
    <row r="15" spans="1:9">
      <c r="A15" s="37">
        <f>IF(ISNUMBER(D15),MAX(A$8:A14)+1,"")</f>
        <v>5</v>
      </c>
      <c r="B15" s="11" t="s">
        <v>116</v>
      </c>
      <c r="C15" s="11">
        <f>SUM(C10:C13)</f>
        <v>10686042.699999999</v>
      </c>
      <c r="D15" s="11">
        <f>SUM(D10:D13)</f>
        <v>6359279</v>
      </c>
      <c r="E15" s="11">
        <f>SUM(E10:E13)</f>
        <v>4326763.6999999993</v>
      </c>
      <c r="F15"/>
      <c r="G15" s="11">
        <f>SUM(G10:G13)</f>
        <v>20672140.210000001</v>
      </c>
      <c r="H15" s="11">
        <f>SUM(H10:H13)</f>
        <v>20275089</v>
      </c>
      <c r="I15" s="11">
        <f>SUM(I10:I13)</f>
        <v>397051.21000000276</v>
      </c>
    </row>
    <row r="16" spans="1:9">
      <c r="F16"/>
    </row>
    <row r="17" spans="1:9">
      <c r="A17" s="37" t="str">
        <f>IF(ISNUMBER(D17),MAX(A$8:A16)+1,"")</f>
        <v/>
      </c>
      <c r="B17" s="32" t="s">
        <v>117</v>
      </c>
      <c r="F17"/>
    </row>
    <row r="18" spans="1:9">
      <c r="A18" s="37">
        <f>IF(ISNUMBER(D18),MAX(A$8:A17)+1,"")</f>
        <v>6</v>
      </c>
      <c r="B18" s="30" t="s">
        <v>668</v>
      </c>
      <c r="C18" s="11">
        <f>'Cost of Service-Exh. II'!D18</f>
        <v>4379064</v>
      </c>
      <c r="D18" s="11">
        <v>0</v>
      </c>
      <c r="E18" s="11">
        <f t="shared" ref="E18:E21" si="2">C18-D18</f>
        <v>4379064</v>
      </c>
      <c r="F18"/>
      <c r="G18" s="11">
        <f>'Cost of Service-Exh. II'!E18</f>
        <v>0</v>
      </c>
      <c r="H18" s="11">
        <v>0</v>
      </c>
      <c r="I18" s="11">
        <f t="shared" ref="I18:I21" si="3">G18-H18</f>
        <v>0</v>
      </c>
    </row>
    <row r="19" spans="1:9">
      <c r="A19" s="37">
        <f>IF(ISNUMBER(D19),MAX(A$8:A18)+1,"")</f>
        <v>7</v>
      </c>
      <c r="B19" s="30" t="s">
        <v>669</v>
      </c>
      <c r="C19" s="11">
        <f>'Cost of Service-Exh. II'!D19</f>
        <v>786350</v>
      </c>
      <c r="D19" s="11">
        <v>0</v>
      </c>
      <c r="E19" s="11">
        <f t="shared" si="2"/>
        <v>786350</v>
      </c>
      <c r="F19"/>
      <c r="G19" s="11">
        <f>'Cost of Service-Exh. II'!E19</f>
        <v>1203864</v>
      </c>
      <c r="H19" s="11">
        <v>0</v>
      </c>
      <c r="I19" s="11">
        <f t="shared" si="3"/>
        <v>1203864</v>
      </c>
    </row>
    <row r="20" spans="1:9">
      <c r="A20" s="37">
        <f>IF(ISNUMBER(D20),MAX(A$8:A19)+1,"")</f>
        <v>8</v>
      </c>
      <c r="B20" s="30" t="s">
        <v>121</v>
      </c>
      <c r="C20" s="11">
        <f>'Cost of Service-Exh. II'!D20</f>
        <v>136300</v>
      </c>
      <c r="D20" s="11">
        <v>0</v>
      </c>
      <c r="E20" s="11">
        <f t="shared" si="2"/>
        <v>136300</v>
      </c>
      <c r="F20"/>
      <c r="G20" s="11">
        <f>'Cost of Service-Exh. II'!E20</f>
        <v>208669</v>
      </c>
      <c r="H20" s="11">
        <v>0</v>
      </c>
      <c r="I20" s="11">
        <f t="shared" si="3"/>
        <v>208669</v>
      </c>
    </row>
    <row r="21" spans="1:9">
      <c r="A21" s="37">
        <f>IF(ISNUMBER(D21),MAX(A$8:A20)+1,"")</f>
        <v>9</v>
      </c>
      <c r="B21" s="30" t="s">
        <v>113</v>
      </c>
      <c r="C21" s="19">
        <f>'Cost of Service-Exh. II'!D21</f>
        <v>0</v>
      </c>
      <c r="D21" s="19">
        <v>0</v>
      </c>
      <c r="E21" s="19">
        <f t="shared" si="2"/>
        <v>0</v>
      </c>
      <c r="F21"/>
      <c r="G21" s="19">
        <f>'Cost of Service-Exh. II'!E21</f>
        <v>19942592</v>
      </c>
      <c r="H21" s="19">
        <v>0</v>
      </c>
      <c r="I21" s="19">
        <f t="shared" si="3"/>
        <v>19942592</v>
      </c>
    </row>
    <row r="22" spans="1:9">
      <c r="F22"/>
    </row>
    <row r="23" spans="1:9">
      <c r="A23" s="37">
        <f>IF(ISNUMBER(D23),MAX(A$8:A22)+1,"")</f>
        <v>10</v>
      </c>
      <c r="B23" s="11" t="s">
        <v>124</v>
      </c>
      <c r="C23" s="11">
        <f t="shared" ref="C23:I23" si="4">SUM(C18:C21)</f>
        <v>5301714</v>
      </c>
      <c r="D23" s="11">
        <f t="shared" si="4"/>
        <v>0</v>
      </c>
      <c r="E23" s="11">
        <f t="shared" si="4"/>
        <v>5301714</v>
      </c>
      <c r="F23"/>
      <c r="G23" s="11">
        <f t="shared" si="4"/>
        <v>21355125</v>
      </c>
      <c r="H23" s="11">
        <f t="shared" si="4"/>
        <v>0</v>
      </c>
      <c r="I23" s="11">
        <f t="shared" si="4"/>
        <v>21355125</v>
      </c>
    </row>
    <row r="24" spans="1:9">
      <c r="F24"/>
    </row>
    <row r="25" spans="1:9">
      <c r="B25" s="32" t="s">
        <v>126</v>
      </c>
      <c r="F25"/>
    </row>
    <row r="26" spans="1:9">
      <c r="A26" s="37">
        <f>IF(ISNUMBER(D26),MAX(A$8:A25)+1,"")</f>
        <v>11</v>
      </c>
      <c r="B26" s="30" t="s">
        <v>127</v>
      </c>
      <c r="C26" s="11">
        <f>'Cost of Service-Exh. II'!D26</f>
        <v>0</v>
      </c>
      <c r="D26" s="11">
        <v>0</v>
      </c>
      <c r="E26" s="11">
        <f t="shared" ref="E26:E28" si="5">C26-D26</f>
        <v>0</v>
      </c>
      <c r="F26"/>
      <c r="G26" s="11">
        <f>'Cost of Service-Exh. II'!E26</f>
        <v>0</v>
      </c>
      <c r="H26" s="11">
        <v>0</v>
      </c>
      <c r="I26" s="11">
        <f t="shared" ref="I26:I28" si="6">G26-H26</f>
        <v>0</v>
      </c>
    </row>
    <row r="27" spans="1:9">
      <c r="A27" s="37">
        <f>IF(ISNUMBER(D27),MAX(A$8:A26)+1,"")</f>
        <v>12</v>
      </c>
      <c r="B27" s="30" t="s">
        <v>128</v>
      </c>
      <c r="C27" s="11">
        <f>'Cost of Service-Exh. II'!D27</f>
        <v>0</v>
      </c>
      <c r="D27" s="11">
        <v>0</v>
      </c>
      <c r="E27" s="11">
        <f t="shared" si="5"/>
        <v>0</v>
      </c>
      <c r="F27"/>
      <c r="G27" s="11">
        <f>'Cost of Service-Exh. II'!E27</f>
        <v>0</v>
      </c>
      <c r="H27" s="11">
        <v>0</v>
      </c>
      <c r="I27" s="11">
        <f t="shared" si="6"/>
        <v>0</v>
      </c>
    </row>
    <row r="28" spans="1:9">
      <c r="A28" s="37">
        <f>IF(ISNUMBER(D28),MAX(A$8:A27)+1,"")</f>
        <v>13</v>
      </c>
      <c r="B28" s="30" t="s">
        <v>129</v>
      </c>
      <c r="C28" s="19">
        <f>'Cost of Service-Exh. II'!D28</f>
        <v>0</v>
      </c>
      <c r="D28" s="19">
        <v>0</v>
      </c>
      <c r="E28" s="19">
        <f t="shared" si="5"/>
        <v>0</v>
      </c>
      <c r="F28"/>
      <c r="G28" s="19">
        <f>'Cost of Service-Exh. II'!E28</f>
        <v>0</v>
      </c>
      <c r="H28" s="19">
        <v>0</v>
      </c>
      <c r="I28" s="19">
        <f t="shared" si="6"/>
        <v>0</v>
      </c>
    </row>
    <row r="29" spans="1:9">
      <c r="F29"/>
    </row>
    <row r="30" spans="1:9">
      <c r="A30" s="37">
        <f>IF(ISNUMBER(D30),MAX(A$8:A29)+1,"")</f>
        <v>14</v>
      </c>
      <c r="B30" s="11" t="s">
        <v>130</v>
      </c>
      <c r="C30" s="11">
        <f>SUM(C26:C28)</f>
        <v>0</v>
      </c>
      <c r="D30" s="11">
        <f>SUM(D26:D28)</f>
        <v>0</v>
      </c>
      <c r="E30" s="11">
        <f>SUM(E26:E28)</f>
        <v>0</v>
      </c>
      <c r="F30"/>
      <c r="G30" s="11">
        <f>SUM(G26:G28)</f>
        <v>0</v>
      </c>
      <c r="H30" s="11">
        <f>SUM(H26:H28)</f>
        <v>0</v>
      </c>
      <c r="I30" s="11">
        <f>SUM(I26:I28)</f>
        <v>0</v>
      </c>
    </row>
    <row r="31" spans="1:9">
      <c r="F31"/>
    </row>
    <row r="32" spans="1:9">
      <c r="A32" s="37">
        <f>IF(ISNUMBER(D32),MAX(A$8:A31)+1,"")</f>
        <v>15</v>
      </c>
      <c r="B32" s="11" t="s">
        <v>131</v>
      </c>
      <c r="C32" s="11">
        <f>'Cost of Service-Exh. II'!D32</f>
        <v>5915147</v>
      </c>
      <c r="D32" s="11">
        <f>'2015 COSA'!C10+'2015 COSA'!C11+'2015 COSA'!C13</f>
        <v>19002613</v>
      </c>
      <c r="E32" s="11">
        <f t="shared" ref="E32" si="7">C32-D32</f>
        <v>-13087466</v>
      </c>
      <c r="F32"/>
      <c r="G32" s="11">
        <f>'NPIS &amp; Rate Base-Exh. VII'!H92</f>
        <v>16412850</v>
      </c>
      <c r="H32" s="11">
        <f>'2015 COSA'!D10+'2015 COSA'!D11+'2015 COSA'!D13</f>
        <v>30370828</v>
      </c>
      <c r="I32" s="11">
        <f t="shared" ref="I32" si="8">G32-H32</f>
        <v>-13957978</v>
      </c>
    </row>
    <row r="33" spans="1:9">
      <c r="F33"/>
    </row>
    <row r="34" spans="1:9">
      <c r="B34" s="32" t="s">
        <v>132</v>
      </c>
      <c r="F34"/>
    </row>
    <row r="35" spans="1:9">
      <c r="A35" s="37">
        <f>IF(ISNUMBER(D35),MAX(A$8:A34)+1,"")</f>
        <v>16</v>
      </c>
      <c r="B35" s="6" t="s">
        <v>133</v>
      </c>
      <c r="C35" s="11">
        <f>'Cost of Service-Exh. II'!D35</f>
        <v>0</v>
      </c>
      <c r="D35" s="11">
        <v>0</v>
      </c>
      <c r="E35" s="11">
        <f t="shared" ref="E35:E37" si="9">C35-D35</f>
        <v>0</v>
      </c>
      <c r="F35"/>
      <c r="G35" s="11">
        <f>'Cost of Service-Exh. II'!E35</f>
        <v>0</v>
      </c>
      <c r="I35" s="11">
        <f t="shared" ref="I35:I37" si="10">G35-H35</f>
        <v>0</v>
      </c>
    </row>
    <row r="36" spans="1:9">
      <c r="A36" s="37">
        <f>IF(ISNUMBER(D36),MAX(A$8:A35)+1,"")</f>
        <v>17</v>
      </c>
      <c r="B36" s="6" t="s">
        <v>106</v>
      </c>
      <c r="C36" s="11">
        <f>'Cost of Service-Exh. II'!D36</f>
        <v>-414996</v>
      </c>
      <c r="D36" s="11">
        <f>'2015 COSA'!C27+'2015 COSA'!C28+'2015 COSA'!C29+'2015 COSA'!C32+'2015 COSA'!C33+'2015 COSA'!C34+'2015 COSA'!C30</f>
        <v>-547513</v>
      </c>
      <c r="E36" s="11">
        <f t="shared" si="9"/>
        <v>132517</v>
      </c>
      <c r="F36"/>
      <c r="G36" s="11">
        <f>'Cost of Service-Exh. II'!E36</f>
        <v>0</v>
      </c>
      <c r="I36" s="11">
        <f t="shared" si="10"/>
        <v>0</v>
      </c>
    </row>
    <row r="37" spans="1:9">
      <c r="A37" s="37">
        <f>IF(ISNUMBER(D37),MAX(A$8:A36)+1,"")</f>
        <v>18</v>
      </c>
      <c r="B37" s="6" t="s">
        <v>107</v>
      </c>
      <c r="C37" s="19">
        <f>'Cost of Service-Exh. II'!D37</f>
        <v>0</v>
      </c>
      <c r="D37" s="19">
        <v>0</v>
      </c>
      <c r="E37" s="19">
        <f t="shared" si="9"/>
        <v>0</v>
      </c>
      <c r="F37"/>
      <c r="G37" s="19">
        <f>'Cost of Service-Exh. II'!E37</f>
        <v>-4383497.0600000005</v>
      </c>
      <c r="H37" s="19">
        <f>'2015 COSA'!D37</f>
        <v>-6381665</v>
      </c>
      <c r="I37" s="19">
        <f t="shared" si="10"/>
        <v>1998167.9399999995</v>
      </c>
    </row>
    <row r="38" spans="1:9">
      <c r="F38"/>
    </row>
    <row r="39" spans="1:9">
      <c r="A39" s="37">
        <f>IF(ISNUMBER(D39),MAX(A$8:A38)+1,"")</f>
        <v>19</v>
      </c>
      <c r="B39" s="11" t="s">
        <v>134</v>
      </c>
      <c r="C39" s="19">
        <f>SUM(C35:C37)</f>
        <v>-414996</v>
      </c>
      <c r="D39" s="19">
        <f>SUM(D35:D37)</f>
        <v>-547513</v>
      </c>
      <c r="E39" s="19">
        <f>SUM(E35:E37)</f>
        <v>132517</v>
      </c>
      <c r="F39"/>
      <c r="G39" s="19">
        <f>SUM(G35:G37)</f>
        <v>-4383497.0600000005</v>
      </c>
      <c r="H39" s="19">
        <f>SUM(H35:H37)</f>
        <v>-6381665</v>
      </c>
      <c r="I39" s="19">
        <f>SUM(I35:I37)</f>
        <v>1998167.9399999995</v>
      </c>
    </row>
    <row r="40" spans="1:9">
      <c r="F40"/>
    </row>
    <row r="41" spans="1:9">
      <c r="B41" s="32" t="s">
        <v>670</v>
      </c>
      <c r="F41"/>
    </row>
    <row r="42" spans="1:9">
      <c r="A42" s="37">
        <f>IF(ISNUMBER(D42),MAX(A$8:A41)+1,"")</f>
        <v>20</v>
      </c>
      <c r="B42" s="81" t="s">
        <v>671</v>
      </c>
      <c r="C42" s="11">
        <v>0</v>
      </c>
      <c r="D42" s="11">
        <f>'2015 COSA'!C8</f>
        <v>542905</v>
      </c>
      <c r="E42" s="11">
        <f t="shared" ref="E42:E46" si="11">C42-D42</f>
        <v>-542905</v>
      </c>
      <c r="F42"/>
      <c r="G42" s="11">
        <v>0</v>
      </c>
      <c r="H42" s="11">
        <f>'2015 COSA'!D8</f>
        <v>950229</v>
      </c>
      <c r="I42" s="11">
        <f t="shared" ref="I42:I46" si="12">G42-H42</f>
        <v>-950229</v>
      </c>
    </row>
    <row r="43" spans="1:9">
      <c r="A43" s="37">
        <f>IF(ISNUMBER(D43),MAX(A$8:A42)+1,"")</f>
        <v>21</v>
      </c>
      <c r="B43" s="81" t="s">
        <v>672</v>
      </c>
      <c r="C43" s="11">
        <v>0</v>
      </c>
      <c r="D43" s="11">
        <f>'2015 COSA'!C12</f>
        <v>5526618</v>
      </c>
      <c r="E43" s="11">
        <f t="shared" si="11"/>
        <v>-5526618</v>
      </c>
      <c r="F43"/>
      <c r="G43" s="11">
        <v>0</v>
      </c>
      <c r="H43" s="11">
        <f>'2015 COSA'!D12</f>
        <v>8049490</v>
      </c>
      <c r="I43" s="11">
        <f t="shared" si="12"/>
        <v>-8049490</v>
      </c>
    </row>
    <row r="44" spans="1:9">
      <c r="A44" s="37">
        <f>IF(ISNUMBER(D44),MAX(A$8:A43)+1,"")</f>
        <v>22</v>
      </c>
      <c r="B44" s="81" t="s">
        <v>673</v>
      </c>
      <c r="C44" s="11">
        <v>0</v>
      </c>
      <c r="D44" s="11">
        <f>'2015 COSA'!C17</f>
        <v>-7257331</v>
      </c>
      <c r="E44" s="11">
        <f t="shared" si="11"/>
        <v>7257331</v>
      </c>
      <c r="F44"/>
      <c r="G44" s="11">
        <v>0</v>
      </c>
      <c r="H44" s="11">
        <f>'2015 COSA'!D17</f>
        <v>-10963222</v>
      </c>
      <c r="I44" s="11">
        <f t="shared" si="12"/>
        <v>10963222</v>
      </c>
    </row>
    <row r="45" spans="1:9">
      <c r="A45" s="37">
        <f>IF(ISNUMBER(D45),MAX(A$8:A44)+1,"")</f>
        <v>23</v>
      </c>
      <c r="B45" s="81" t="s">
        <v>674</v>
      </c>
      <c r="C45" s="11">
        <v>0</v>
      </c>
      <c r="D45" s="11">
        <f>'2015 COSA'!C18</f>
        <v>0</v>
      </c>
      <c r="E45" s="11">
        <f t="shared" si="11"/>
        <v>0</v>
      </c>
      <c r="F45"/>
      <c r="G45" s="11">
        <v>0</v>
      </c>
      <c r="H45" s="11">
        <f>'2015 COSA'!D18</f>
        <v>-4871162</v>
      </c>
      <c r="I45" s="11">
        <f t="shared" si="12"/>
        <v>4871162</v>
      </c>
    </row>
    <row r="46" spans="1:9">
      <c r="A46" s="37">
        <f>IF(ISNUMBER(D46),MAX(A$8:A45)+1,"")</f>
        <v>24</v>
      </c>
      <c r="B46" s="81" t="s">
        <v>675</v>
      </c>
      <c r="C46" s="19">
        <v>0</v>
      </c>
      <c r="D46" s="19">
        <f>'2015 COSA'!C22</f>
        <v>-5526618</v>
      </c>
      <c r="E46" s="19">
        <f t="shared" si="11"/>
        <v>5526618</v>
      </c>
      <c r="F46"/>
      <c r="G46" s="19">
        <v>0</v>
      </c>
      <c r="H46" s="19">
        <f>'2015 COSA'!D22</f>
        <v>-8049490</v>
      </c>
      <c r="I46" s="19">
        <f t="shared" si="12"/>
        <v>8049490</v>
      </c>
    </row>
    <row r="47" spans="1:9">
      <c r="A47" s="37">
        <f>IF(ISNUMBER(D47),MAX(A$8:A46)+1,"")</f>
        <v>25</v>
      </c>
      <c r="B47" s="11" t="s">
        <v>649</v>
      </c>
      <c r="C47" s="93">
        <f>SUM(C42:C46)</f>
        <v>0</v>
      </c>
      <c r="D47" s="93">
        <f>SUM(D42:D46)</f>
        <v>-6714426</v>
      </c>
      <c r="E47" s="93">
        <f>SUM(E42:E46)</f>
        <v>6714426</v>
      </c>
      <c r="F47"/>
      <c r="G47" s="93">
        <f>SUM(G42:G46)</f>
        <v>0</v>
      </c>
      <c r="H47" s="93">
        <f>SUM(H42:H46)</f>
        <v>-14884155</v>
      </c>
      <c r="I47" s="93">
        <f>SUM(I42:I46)</f>
        <v>14884155</v>
      </c>
    </row>
    <row r="48" spans="1:9">
      <c r="F48"/>
    </row>
    <row r="49" spans="1:10" ht="19.5" thickBot="1">
      <c r="A49" s="37">
        <f>IF(ISNUMBER(D49),MAX(A$8:A48)+1,"")</f>
        <v>26</v>
      </c>
      <c r="B49" s="11" t="s">
        <v>135</v>
      </c>
      <c r="C49" s="27">
        <f>C15+C23+C30+C32+C39+C47</f>
        <v>21487907.699999999</v>
      </c>
      <c r="D49" s="27">
        <f>D15+D23+D30+D32+D39+D47</f>
        <v>18099953</v>
      </c>
      <c r="E49" s="27">
        <f>E15+E23+E30+E32+E39+E47</f>
        <v>3387954.6999999993</v>
      </c>
      <c r="F49"/>
      <c r="G49" s="27">
        <f>G15+G23+G30+G32+G39+G47</f>
        <v>54056618.149999999</v>
      </c>
      <c r="H49" s="27">
        <f>H15+H23+H30+H32+H39+H47</f>
        <v>29380097</v>
      </c>
      <c r="I49" s="27">
        <f>I15+I23+I30+I32+I39+I47</f>
        <v>24676521.149999999</v>
      </c>
    </row>
    <row r="50" spans="1:10" ht="19.5" thickTop="1">
      <c r="F50"/>
    </row>
    <row r="51" spans="1:10">
      <c r="B51"/>
      <c r="C51"/>
      <c r="D51" s="81"/>
      <c r="E51" s="81"/>
      <c r="F51"/>
      <c r="G51"/>
      <c r="H51" s="81"/>
      <c r="I51" s="81"/>
      <c r="J51"/>
    </row>
    <row r="52" spans="1:10">
      <c r="B52" t="s">
        <v>167</v>
      </c>
      <c r="C52"/>
      <c r="D52"/>
      <c r="E52"/>
      <c r="F52"/>
      <c r="G52"/>
      <c r="H52"/>
      <c r="I52"/>
      <c r="J52"/>
    </row>
    <row r="53" spans="1:10">
      <c r="B53"/>
      <c r="C53"/>
      <c r="D53"/>
      <c r="E53"/>
      <c r="F53"/>
      <c r="G53"/>
      <c r="H53"/>
      <c r="I53"/>
      <c r="J53"/>
    </row>
    <row r="54" spans="1:10">
      <c r="B54"/>
      <c r="C54"/>
      <c r="D54"/>
      <c r="E54"/>
      <c r="F54"/>
      <c r="G54"/>
      <c r="H54"/>
      <c r="I54"/>
      <c r="J54"/>
    </row>
    <row r="55" spans="1:10">
      <c r="B55"/>
      <c r="C55"/>
      <c r="D55"/>
      <c r="E55"/>
      <c r="F55"/>
      <c r="G55"/>
      <c r="H55"/>
      <c r="I55"/>
      <c r="J55"/>
    </row>
    <row r="56" spans="1:10">
      <c r="B56"/>
      <c r="C56"/>
      <c r="D56"/>
      <c r="E56"/>
      <c r="F56"/>
      <c r="G56"/>
      <c r="H56"/>
      <c r="I56"/>
      <c r="J56"/>
    </row>
    <row r="57" spans="1:10">
      <c r="B57"/>
      <c r="C57"/>
      <c r="D57"/>
      <c r="E57"/>
      <c r="F57"/>
      <c r="G57"/>
      <c r="H57"/>
      <c r="I57"/>
      <c r="J57"/>
    </row>
    <row r="58" spans="1:10">
      <c r="B58"/>
      <c r="C58"/>
      <c r="D58"/>
      <c r="E58"/>
      <c r="F58"/>
      <c r="G58"/>
      <c r="H58"/>
      <c r="I58"/>
      <c r="J58"/>
    </row>
    <row r="59" spans="1:10">
      <c r="B59"/>
      <c r="C59"/>
      <c r="D59"/>
      <c r="E59"/>
      <c r="F59"/>
      <c r="G59"/>
      <c r="H59"/>
      <c r="I59"/>
      <c r="J59"/>
    </row>
    <row r="60" spans="1:10">
      <c r="B60"/>
      <c r="C60"/>
      <c r="D60"/>
      <c r="E60"/>
      <c r="F60"/>
      <c r="G60"/>
      <c r="H60"/>
      <c r="I60"/>
      <c r="J60"/>
    </row>
    <row r="61" spans="1:10">
      <c r="B61"/>
      <c r="C61"/>
      <c r="D61"/>
      <c r="E61"/>
      <c r="F61"/>
      <c r="G61"/>
      <c r="H61"/>
      <c r="I61"/>
      <c r="J61"/>
    </row>
    <row r="62" spans="1:10">
      <c r="B62"/>
      <c r="C62"/>
      <c r="D62"/>
      <c r="E62"/>
      <c r="F62"/>
      <c r="G62"/>
      <c r="H62"/>
      <c r="I62"/>
      <c r="J62"/>
    </row>
    <row r="63" spans="1:10">
      <c r="B63"/>
      <c r="C63"/>
      <c r="D63"/>
      <c r="E63"/>
      <c r="F63"/>
      <c r="G63"/>
      <c r="H63"/>
      <c r="I63"/>
      <c r="J63"/>
    </row>
    <row r="64" spans="1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</sheetData>
  <pageMargins left="0" right="0" top="0" bottom="0" header="0" footer="0"/>
  <pageSetup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C1CC-24F8-46A0-90B0-92A3A8B1974F}">
  <dimension ref="A1:H40"/>
  <sheetViews>
    <sheetView workbookViewId="0"/>
  </sheetViews>
  <sheetFormatPr defaultColWidth="8.88671875" defaultRowHeight="18.75"/>
  <cols>
    <col min="1" max="1" width="39.6640625" style="81" bestFit="1" customWidth="1"/>
    <col min="2" max="2" width="8.88671875" style="81"/>
    <col min="3" max="3" width="12.109375" style="81" bestFit="1" customWidth="1"/>
    <col min="4" max="4" width="11.44140625" style="81" bestFit="1" customWidth="1"/>
    <col min="5" max="5" width="26.44140625" style="81" bestFit="1" customWidth="1"/>
    <col min="6" max="7" width="10.77734375" style="81" bestFit="1" customWidth="1"/>
    <col min="8" max="8" width="10.5546875" style="81" bestFit="1" customWidth="1"/>
    <col min="9" max="16384" width="8.88671875" style="81"/>
  </cols>
  <sheetData>
    <row r="1" spans="1:8">
      <c r="A1" s="92" t="s">
        <v>676</v>
      </c>
    </row>
    <row r="3" spans="1:8">
      <c r="C3" s="85" t="s">
        <v>106</v>
      </c>
      <c r="D3" s="81" t="s">
        <v>677</v>
      </c>
    </row>
    <row r="4" spans="1:8">
      <c r="C4" s="86" t="s">
        <v>678</v>
      </c>
      <c r="D4" s="86" t="s">
        <v>678</v>
      </c>
      <c r="F4" s="91" t="s">
        <v>679</v>
      </c>
      <c r="G4" s="91"/>
    </row>
    <row r="5" spans="1:8">
      <c r="C5" s="90" t="s">
        <v>665</v>
      </c>
      <c r="D5" s="90" t="s">
        <v>665</v>
      </c>
      <c r="F5" s="90" t="s">
        <v>680</v>
      </c>
      <c r="G5" s="90" t="s">
        <v>681</v>
      </c>
    </row>
    <row r="7" spans="1:8">
      <c r="A7" s="285" t="s">
        <v>682</v>
      </c>
      <c r="C7" s="81">
        <v>3083165</v>
      </c>
      <c r="D7" s="81">
        <v>11324518</v>
      </c>
      <c r="E7" s="81" t="s">
        <v>683</v>
      </c>
      <c r="F7" s="81">
        <v>221</v>
      </c>
      <c r="G7" s="81">
        <v>70</v>
      </c>
      <c r="H7" s="81" t="s">
        <v>684</v>
      </c>
    </row>
    <row r="8" spans="1:8">
      <c r="A8" s="81" t="s">
        <v>671</v>
      </c>
      <c r="C8" s="81">
        <v>542905</v>
      </c>
      <c r="D8" s="81">
        <v>950229</v>
      </c>
      <c r="E8" s="81" t="s">
        <v>685</v>
      </c>
      <c r="F8" s="81">
        <v>9691</v>
      </c>
      <c r="G8" s="81">
        <f>F8</f>
        <v>9691</v>
      </c>
      <c r="H8" s="81" t="s">
        <v>684</v>
      </c>
    </row>
    <row r="9" spans="1:8">
      <c r="A9" s="81" t="s">
        <v>686</v>
      </c>
      <c r="C9" s="81">
        <v>3276114</v>
      </c>
      <c r="D9" s="81">
        <v>8950571</v>
      </c>
    </row>
    <row r="10" spans="1:8">
      <c r="A10" s="81" t="s">
        <v>687</v>
      </c>
      <c r="C10" s="81">
        <v>6064004</v>
      </c>
      <c r="D10" s="81">
        <v>8503566</v>
      </c>
      <c r="E10" s="81" t="s">
        <v>688</v>
      </c>
      <c r="F10" s="81">
        <f>SUM(F7:F8)</f>
        <v>9912</v>
      </c>
      <c r="G10" s="81">
        <f>SUM(G7:G8)</f>
        <v>9761</v>
      </c>
      <c r="H10" s="81" t="s">
        <v>684</v>
      </c>
    </row>
    <row r="11" spans="1:8">
      <c r="A11" s="81" t="s">
        <v>689</v>
      </c>
      <c r="C11" s="81">
        <v>1250254</v>
      </c>
      <c r="D11" s="81">
        <v>1753235</v>
      </c>
      <c r="E11" s="81" t="s">
        <v>690</v>
      </c>
      <c r="F11" s="81">
        <f>C39</f>
        <v>18099953</v>
      </c>
      <c r="G11" s="81">
        <f>D39</f>
        <v>29380097</v>
      </c>
    </row>
    <row r="12" spans="1:8">
      <c r="A12" s="81" t="s">
        <v>672</v>
      </c>
      <c r="C12" s="81">
        <v>5526618</v>
      </c>
      <c r="D12" s="81">
        <v>8049490</v>
      </c>
    </row>
    <row r="13" spans="1:8">
      <c r="A13" s="81" t="s">
        <v>691</v>
      </c>
      <c r="C13" s="82">
        <v>11688355</v>
      </c>
      <c r="D13" s="82">
        <v>20114027</v>
      </c>
      <c r="E13" s="81" t="s">
        <v>692</v>
      </c>
      <c r="F13" s="87">
        <f>ROUND(F11/F10/1000,2)</f>
        <v>1.83</v>
      </c>
      <c r="G13" s="87">
        <f>ROUND(G11/G10/1000,2)</f>
        <v>3.01</v>
      </c>
    </row>
    <row r="15" spans="1:8">
      <c r="A15" s="81" t="s">
        <v>693</v>
      </c>
      <c r="C15" s="81">
        <f>SUM(C7:C13)</f>
        <v>31431415</v>
      </c>
      <c r="D15" s="81">
        <f>SUM(D7:D13)</f>
        <v>59645636</v>
      </c>
      <c r="E15" s="81" t="s">
        <v>694</v>
      </c>
      <c r="F15" s="88">
        <v>3.7999999999999999E-2</v>
      </c>
      <c r="G15" s="88">
        <v>3.7999999999999999E-2</v>
      </c>
    </row>
    <row r="17" spans="1:7" ht="19.5" thickBot="1">
      <c r="A17" s="81" t="s">
        <v>673</v>
      </c>
      <c r="C17" s="81">
        <v>-7257331</v>
      </c>
      <c r="D17" s="81">
        <v>-10963222</v>
      </c>
      <c r="E17" s="81" t="s">
        <v>695</v>
      </c>
      <c r="F17" s="89">
        <f>ROUND(F13*(1+F15),2)</f>
        <v>1.9</v>
      </c>
      <c r="G17" s="89">
        <f>ROUND(G13*(1+G15),2)</f>
        <v>3.12</v>
      </c>
    </row>
    <row r="18" spans="1:7" ht="19.5" thickTop="1">
      <c r="A18" s="81" t="s">
        <v>674</v>
      </c>
      <c r="C18" s="82">
        <v>0</v>
      </c>
      <c r="D18" s="82">
        <v>-4871162</v>
      </c>
      <c r="F18" s="87"/>
    </row>
    <row r="20" spans="1:7">
      <c r="A20" s="81" t="s">
        <v>696</v>
      </c>
      <c r="C20" s="81">
        <f>C15+C17+C18</f>
        <v>24174084</v>
      </c>
      <c r="D20" s="81">
        <f>D15+D17+D18</f>
        <v>43811252</v>
      </c>
    </row>
    <row r="22" spans="1:7">
      <c r="A22" s="81" t="s">
        <v>675</v>
      </c>
      <c r="C22" s="82">
        <v>-5526618</v>
      </c>
      <c r="D22" s="82">
        <v>-8049490</v>
      </c>
    </row>
    <row r="24" spans="1:7">
      <c r="A24" s="81" t="s">
        <v>697</v>
      </c>
      <c r="C24" s="81">
        <f>C20+C22</f>
        <v>18647466</v>
      </c>
      <c r="D24" s="81">
        <f>D20+D22</f>
        <v>35761762</v>
      </c>
    </row>
    <row r="26" spans="1:7">
      <c r="A26" s="83" t="s">
        <v>698</v>
      </c>
    </row>
    <row r="27" spans="1:7">
      <c r="A27" s="81" t="s">
        <v>699</v>
      </c>
      <c r="C27" s="81">
        <v>-48304</v>
      </c>
      <c r="D27" s="81">
        <v>-190020</v>
      </c>
    </row>
    <row r="28" spans="1:7">
      <c r="A28" s="81" t="s">
        <v>700</v>
      </c>
      <c r="C28" s="81">
        <v>-317168</v>
      </c>
    </row>
    <row r="29" spans="1:7">
      <c r="A29" s="81" t="s">
        <v>701</v>
      </c>
      <c r="C29" s="81">
        <v>-1123</v>
      </c>
    </row>
    <row r="30" spans="1:7">
      <c r="A30" s="81" t="s">
        <v>702</v>
      </c>
      <c r="C30" s="81">
        <v>-918</v>
      </c>
    </row>
    <row r="31" spans="1:7">
      <c r="A31" s="81" t="s">
        <v>703</v>
      </c>
      <c r="D31" s="81">
        <v>-14000</v>
      </c>
    </row>
    <row r="32" spans="1:7">
      <c r="A32" s="81" t="s">
        <v>704</v>
      </c>
      <c r="C32" s="81">
        <v>-70000</v>
      </c>
    </row>
    <row r="33" spans="1:4">
      <c r="A33" s="81" t="s">
        <v>705</v>
      </c>
      <c r="C33" s="81">
        <v>-3000</v>
      </c>
    </row>
    <row r="34" spans="1:4">
      <c r="A34" s="81" t="s">
        <v>706</v>
      </c>
      <c r="C34" s="81">
        <v>-107000</v>
      </c>
    </row>
    <row r="35" spans="1:4">
      <c r="A35" s="81" t="s">
        <v>378</v>
      </c>
      <c r="C35" s="82">
        <v>0</v>
      </c>
      <c r="D35" s="82">
        <v>-6177645</v>
      </c>
    </row>
    <row r="37" spans="1:4">
      <c r="A37" s="81" t="s">
        <v>149</v>
      </c>
      <c r="C37" s="82">
        <f>SUM(C27:C35)</f>
        <v>-547513</v>
      </c>
      <c r="D37" s="82">
        <f>SUM(D27:D35)</f>
        <v>-6381665</v>
      </c>
    </row>
    <row r="39" spans="1:4" ht="19.5" thickBot="1">
      <c r="A39" s="81" t="s">
        <v>707</v>
      </c>
      <c r="C39" s="84">
        <f>C24+C37</f>
        <v>18099953</v>
      </c>
      <c r="D39" s="84">
        <f>D24+D37</f>
        <v>29380097</v>
      </c>
    </row>
    <row r="40" spans="1:4" ht="19.5" thickTop="1"/>
  </sheetData>
  <pageMargins left="0" right="0" top="0" bottom="0" header="0" footer="0"/>
  <pageSetup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87CF-5C71-4E20-9B6C-0D5F48CB4827}">
  <dimension ref="A1:G51"/>
  <sheetViews>
    <sheetView tabSelected="1" workbookViewId="0">
      <selection activeCell="E20" sqref="E20"/>
    </sheetView>
  </sheetViews>
  <sheetFormatPr defaultColWidth="8.88671875" defaultRowHeight="18.75"/>
  <cols>
    <col min="1" max="1" width="8.88671875" style="1"/>
    <col min="2" max="2" width="43.6640625" style="1" customWidth="1"/>
    <col min="3" max="3" width="12.77734375" style="1" bestFit="1" customWidth="1"/>
    <col min="4" max="4" width="12.33203125" style="1" bestFit="1" customWidth="1"/>
    <col min="5" max="5" width="13.44140625" style="1" bestFit="1" customWidth="1"/>
    <col min="6" max="6" width="25.6640625" style="1" customWidth="1"/>
    <col min="7" max="16384" width="8.88671875" style="1"/>
  </cols>
  <sheetData>
    <row r="1" spans="1:6">
      <c r="A1" s="105" t="s">
        <v>42</v>
      </c>
      <c r="B1" s="102"/>
      <c r="C1" s="102"/>
      <c r="D1" s="102"/>
      <c r="E1" s="102"/>
      <c r="F1" s="102"/>
    </row>
    <row r="2" spans="1:6">
      <c r="A2" s="103" t="s">
        <v>43</v>
      </c>
      <c r="B2" s="103"/>
      <c r="C2" s="103"/>
      <c r="D2" s="103"/>
      <c r="E2" s="103"/>
      <c r="F2" s="103"/>
    </row>
    <row r="4" spans="1:6">
      <c r="A4" s="200"/>
      <c r="B4" s="200"/>
      <c r="C4" s="201"/>
      <c r="D4" s="202" t="s">
        <v>44</v>
      </c>
      <c r="E4" s="202"/>
      <c r="F4" s="202"/>
    </row>
    <row r="5" spans="1:6">
      <c r="A5" s="36" t="s">
        <v>45</v>
      </c>
      <c r="B5" s="200"/>
      <c r="C5" s="200"/>
      <c r="D5" s="200"/>
      <c r="E5" s="200" t="s">
        <v>46</v>
      </c>
      <c r="F5" s="200"/>
    </row>
    <row r="6" spans="1:6">
      <c r="A6" s="203" t="s">
        <v>47</v>
      </c>
      <c r="B6" s="203" t="s">
        <v>48</v>
      </c>
      <c r="C6" s="203" t="s">
        <v>49</v>
      </c>
      <c r="D6" s="203" t="s">
        <v>2</v>
      </c>
      <c r="E6" s="203" t="s">
        <v>50</v>
      </c>
      <c r="F6" s="203" t="s">
        <v>51</v>
      </c>
    </row>
    <row r="7" spans="1:6">
      <c r="A7" s="200"/>
      <c r="B7" s="36" t="s">
        <v>52</v>
      </c>
      <c r="C7" s="36" t="s">
        <v>53</v>
      </c>
      <c r="D7" s="36" t="s">
        <v>54</v>
      </c>
      <c r="E7" s="204" t="s">
        <v>55</v>
      </c>
      <c r="F7" s="204" t="s">
        <v>56</v>
      </c>
    </row>
    <row r="8" spans="1:6">
      <c r="A8" s="35"/>
      <c r="B8" s="36"/>
      <c r="C8" s="36"/>
      <c r="D8" s="36"/>
      <c r="E8" s="36"/>
      <c r="F8" s="36"/>
    </row>
    <row r="9" spans="1:6">
      <c r="A9" s="37"/>
      <c r="B9" s="68" t="s">
        <v>57</v>
      </c>
      <c r="C9" s="36"/>
      <c r="D9" s="36"/>
      <c r="E9" s="36"/>
      <c r="F9" s="36"/>
    </row>
    <row r="10" spans="1:6">
      <c r="A10" s="37"/>
      <c r="B10" s="38" t="s">
        <v>58</v>
      </c>
      <c r="C10" s="35"/>
      <c r="D10" s="35"/>
      <c r="E10" s="35"/>
      <c r="F10" s="35"/>
    </row>
    <row r="11" spans="1:6">
      <c r="A11" s="37">
        <f>IF(ISNUMBER(D11),MAX(A$8:A10)+1,"")</f>
        <v>1</v>
      </c>
      <c r="B11" s="39" t="s">
        <v>59</v>
      </c>
      <c r="C11" s="40" t="s">
        <v>60</v>
      </c>
      <c r="D11" s="41">
        <f>'Cost of Service-Exh. II'!D41</f>
        <v>21487907.699999999</v>
      </c>
      <c r="E11" s="41"/>
      <c r="F11" s="35" t="s">
        <v>61</v>
      </c>
    </row>
    <row r="12" spans="1:6">
      <c r="A12" s="37">
        <f>IF(ISNUMBER(D12),MAX(A$8:A11)+1,"")</f>
        <v>2</v>
      </c>
      <c r="B12" s="39" t="s">
        <v>62</v>
      </c>
      <c r="C12" s="40"/>
      <c r="D12" s="42">
        <f>'Allocation Factors-Exh. III'!J17</f>
        <v>1</v>
      </c>
      <c r="E12" s="42"/>
      <c r="F12" s="35"/>
    </row>
    <row r="13" spans="1:6">
      <c r="A13" s="37">
        <f>IF(ISNUMBER(D13),MAX(A$8:A12)+1,"")</f>
        <v>3</v>
      </c>
      <c r="B13" s="39" t="s">
        <v>63</v>
      </c>
      <c r="C13" s="40"/>
      <c r="D13" s="43">
        <f>(D11*D12)</f>
        <v>21487907.699999999</v>
      </c>
      <c r="E13" s="190"/>
      <c r="F13" s="35" t="str">
        <f>"Line "&amp;A11&amp;" * Line "&amp;A12</f>
        <v>Line 1 * Line 2</v>
      </c>
    </row>
    <row r="14" spans="1:6">
      <c r="A14" s="37" t="str">
        <f>IF(ISNUMBER(D14),MAX(A$8:A13)+1,"")</f>
        <v/>
      </c>
      <c r="B14" s="36"/>
      <c r="C14" s="36"/>
      <c r="D14" s="36"/>
      <c r="E14" s="36"/>
      <c r="F14" s="36"/>
    </row>
    <row r="15" spans="1:6">
      <c r="A15" s="37" t="str">
        <f>IF(ISNUMBER(D15),MAX(A$8:A14)+1,"")</f>
        <v/>
      </c>
      <c r="B15" s="44" t="s">
        <v>64</v>
      </c>
      <c r="C15" s="35"/>
      <c r="D15" s="35"/>
      <c r="E15" s="35"/>
      <c r="F15" s="35"/>
    </row>
    <row r="16" spans="1:6">
      <c r="A16" s="37">
        <f>IF(ISNUMBER(D16),MAX(A$8:A15)+1,"")</f>
        <v>4</v>
      </c>
      <c r="B16" s="39" t="s">
        <v>65</v>
      </c>
      <c r="C16" s="40" t="s">
        <v>66</v>
      </c>
      <c r="D16" s="45">
        <f>'System Load-Exh. XII'!T25+E16</f>
        <v>742.49280147046682</v>
      </c>
      <c r="E16" s="45">
        <v>0</v>
      </c>
      <c r="F16" s="35" t="s">
        <v>67</v>
      </c>
    </row>
    <row r="17" spans="1:6">
      <c r="A17" s="37" t="str">
        <f>IF(ISNUMBER(D17),MAX(A$8:A16)+1,"")</f>
        <v/>
      </c>
      <c r="B17" s="35"/>
      <c r="C17" s="40"/>
      <c r="D17" s="35"/>
      <c r="E17" s="35"/>
      <c r="F17" s="46"/>
    </row>
    <row r="18" spans="1:6">
      <c r="A18" s="37" t="str">
        <f>IF(ISNUMBER(D18),MAX(A$8:A17)+1,"")</f>
        <v/>
      </c>
      <c r="B18" s="69" t="s">
        <v>68</v>
      </c>
      <c r="C18" s="40"/>
      <c r="D18" s="35"/>
      <c r="E18" s="35"/>
      <c r="F18" s="46"/>
    </row>
    <row r="19" spans="1:6">
      <c r="A19" s="37">
        <f>IF(ISNUMBER(D19),MAX(A$8:A18)+1,"")</f>
        <v>5</v>
      </c>
      <c r="B19" s="39" t="s">
        <v>69</v>
      </c>
      <c r="C19" s="47" t="s">
        <v>70</v>
      </c>
      <c r="D19" s="48">
        <f>D13/(D16*1000)</f>
        <v>28.940223605460364</v>
      </c>
      <c r="E19" s="191">
        <f>ROUND(D19*(1+'Taxes-Other-Exh. IX'!D44),2)</f>
        <v>30.06</v>
      </c>
      <c r="F19" s="35" t="str">
        <f>"Line "&amp;A13&amp;" ÷ (Line "&amp;A16&amp;" *1000)"</f>
        <v>Line 3 ÷ (Line 4 *1000)</v>
      </c>
    </row>
    <row r="20" spans="1:6">
      <c r="A20" s="37">
        <f>IF(ISNUMBER(D20),MAX(A$8:A19)+1,"")</f>
        <v>6</v>
      </c>
      <c r="B20" s="39" t="s">
        <v>71</v>
      </c>
      <c r="C20" s="40" t="s">
        <v>72</v>
      </c>
      <c r="D20" s="48">
        <f>D19/12</f>
        <v>2.4116853004550305</v>
      </c>
      <c r="E20" s="191">
        <f>ROUND(D20*(1+'Taxes-Other-Exh. IX'!D44),2)</f>
        <v>2.5099999999999998</v>
      </c>
      <c r="F20" s="35" t="str">
        <f>"Line "&amp;A19&amp;" ÷ 12 months"</f>
        <v>Line 5 ÷ 12 months</v>
      </c>
    </row>
    <row r="21" spans="1:6">
      <c r="A21" s="37">
        <f>IF(ISNUMBER(D21),MAX(A$8:A20)+1,"")</f>
        <v>7</v>
      </c>
      <c r="B21" s="39" t="s">
        <v>73</v>
      </c>
      <c r="C21" s="40" t="s">
        <v>74</v>
      </c>
      <c r="D21" s="48">
        <f>D19/52</f>
        <v>0.5565427616434685</v>
      </c>
      <c r="E21" s="191">
        <f>ROUND(D21*(1+'Taxes-Other-Exh. IX'!D44),2)</f>
        <v>0.57999999999999996</v>
      </c>
      <c r="F21" s="35" t="str">
        <f>"Line "&amp;A19&amp;" ÷ 52 weeks"</f>
        <v>Line 5 ÷ 52 weeks</v>
      </c>
    </row>
    <row r="22" spans="1:6">
      <c r="A22" s="37">
        <f>IF(ISNUMBER(D22),MAX(A$8:A21)+1,"")</f>
        <v>8</v>
      </c>
      <c r="B22" s="39" t="s">
        <v>75</v>
      </c>
      <c r="C22" s="40" t="s">
        <v>76</v>
      </c>
      <c r="D22" s="48">
        <f>D21/7</f>
        <v>7.9506108806209785E-2</v>
      </c>
      <c r="E22" s="191">
        <f>ROUND(D22*(1+'Taxes-Other-Exh. IX'!D44),2)</f>
        <v>0.08</v>
      </c>
      <c r="F22" s="35" t="str">
        <f>"Line "&amp;A19&amp;" ÷ 7 days"</f>
        <v>Line 5 ÷ 7 days</v>
      </c>
    </row>
    <row r="23" spans="1:6">
      <c r="A23" s="37">
        <f>IF(ISNUMBER(D23),MAX(A$8:A22)+1,"")</f>
        <v>9</v>
      </c>
      <c r="B23" s="39" t="s">
        <v>77</v>
      </c>
      <c r="C23" s="40" t="s">
        <v>78</v>
      </c>
      <c r="D23" s="49">
        <f>D19/8760</f>
        <v>3.3036784937740143E-3</v>
      </c>
      <c r="E23" s="192">
        <f>ROUND(D23*(1+'Taxes-Other-Exh. IX'!D44),5)</f>
        <v>3.4299999999999999E-3</v>
      </c>
      <c r="F23" s="35" t="str">
        <f>"Line "&amp;A19&amp;" ÷ 8760 hours"</f>
        <v>Line 5 ÷ 8760 hours</v>
      </c>
    </row>
    <row r="24" spans="1:6">
      <c r="A24" s="37" t="str">
        <f>IF(ISNUMBER(D24),MAX(A$8:A23)+1,"")</f>
        <v/>
      </c>
      <c r="B24" s="35"/>
      <c r="C24" s="35"/>
      <c r="D24" s="35"/>
      <c r="E24" s="35"/>
      <c r="F24" s="35"/>
    </row>
    <row r="25" spans="1:6">
      <c r="A25" s="37" t="str">
        <f>IF(ISNUMBER(D25),MAX(A$8:A24)+1,"")</f>
        <v/>
      </c>
      <c r="B25" s="68" t="s">
        <v>79</v>
      </c>
      <c r="C25" s="35"/>
      <c r="D25" s="35"/>
      <c r="E25" s="35"/>
      <c r="F25" s="35"/>
    </row>
    <row r="26" spans="1:6">
      <c r="A26" s="37" t="str">
        <f>IF(ISNUMBER(D26),MAX(A$8:A25)+1,"")</f>
        <v/>
      </c>
      <c r="B26" s="38" t="s">
        <v>58</v>
      </c>
      <c r="C26" s="35"/>
      <c r="D26" s="35"/>
      <c r="E26" s="35"/>
      <c r="F26" s="35"/>
    </row>
    <row r="27" spans="1:6">
      <c r="A27" s="37">
        <f>IF(ISNUMBER(D27),MAX(A$8:A26)+1,"")</f>
        <v>10</v>
      </c>
      <c r="B27" s="39" t="s">
        <v>80</v>
      </c>
      <c r="C27" s="40" t="s">
        <v>60</v>
      </c>
      <c r="D27" s="41">
        <f>'Cost of Service-Exh. II'!E41</f>
        <v>54056618.149999999</v>
      </c>
      <c r="E27" s="41"/>
      <c r="F27" s="35" t="s">
        <v>61</v>
      </c>
    </row>
    <row r="28" spans="1:6">
      <c r="A28" s="37">
        <f>IF(ISNUMBER(D28),MAX(A$8:A27)+1,"")</f>
        <v>11</v>
      </c>
      <c r="B28" s="39" t="s">
        <v>81</v>
      </c>
      <c r="C28" s="40"/>
      <c r="D28" s="42">
        <f>'Allocation Factors-Exh. III'!J31</f>
        <v>0.68016043575483931</v>
      </c>
      <c r="E28" s="42"/>
      <c r="F28" s="35" t="s">
        <v>82</v>
      </c>
    </row>
    <row r="29" spans="1:6">
      <c r="A29" s="37">
        <f>IF(ISNUMBER(D29),MAX(A$8:A28)+1,"")</f>
        <v>12</v>
      </c>
      <c r="B29" s="39" t="s">
        <v>83</v>
      </c>
      <c r="C29" s="40"/>
      <c r="D29" s="43">
        <f>D27*D28</f>
        <v>36767172.956336953</v>
      </c>
      <c r="E29" s="190"/>
      <c r="F29" s="35" t="str">
        <f>"Line "&amp;A27&amp;" * Line "&amp;A28</f>
        <v>Line 10 * Line 11</v>
      </c>
    </row>
    <row r="30" spans="1:6">
      <c r="A30" s="37" t="str">
        <f>IF(ISNUMBER(D30),MAX(A$8:A29)+1,"")</f>
        <v/>
      </c>
      <c r="B30" s="44"/>
      <c r="C30" s="36"/>
      <c r="D30" s="36"/>
      <c r="E30" s="36"/>
      <c r="F30" s="36"/>
    </row>
    <row r="31" spans="1:6">
      <c r="A31" s="37" t="str">
        <f>IF(ISNUMBER(D31),MAX(A$8:A30)+1,"")</f>
        <v/>
      </c>
      <c r="B31" s="44" t="s">
        <v>64</v>
      </c>
      <c r="C31" s="35"/>
      <c r="D31" s="35"/>
      <c r="E31" s="35"/>
      <c r="F31" s="35"/>
    </row>
    <row r="32" spans="1:6">
      <c r="A32" s="37">
        <f>IF(ISNUMBER(D32),MAX(A$8:A31)+1,"")</f>
        <v>13</v>
      </c>
      <c r="B32" s="39" t="s">
        <v>84</v>
      </c>
      <c r="C32" s="40" t="s">
        <v>66</v>
      </c>
      <c r="D32" s="45">
        <f>'System Load-Exh. XII'!S25</f>
        <v>730.56210194166681</v>
      </c>
      <c r="E32" s="45"/>
      <c r="F32" s="35"/>
    </row>
    <row r="33" spans="1:7">
      <c r="A33" s="37" t="str">
        <f>IF(ISNUMBER(D33),MAX(A$8:A32)+1,"")</f>
        <v/>
      </c>
      <c r="B33" s="50"/>
      <c r="C33" s="40"/>
      <c r="D33" s="35"/>
      <c r="E33" s="35"/>
      <c r="F33" s="46"/>
    </row>
    <row r="34" spans="1:7">
      <c r="A34" s="37" t="str">
        <f>IF(ISNUMBER(D34),MAX(A$8:A33)+1,"")</f>
        <v/>
      </c>
      <c r="B34" s="69" t="s">
        <v>85</v>
      </c>
      <c r="C34" s="40"/>
      <c r="D34" s="35"/>
      <c r="E34" s="35"/>
      <c r="F34" s="46"/>
    </row>
    <row r="35" spans="1:7">
      <c r="A35" s="37">
        <f>IF(ISNUMBER(D35),MAX(A$8:A34)+1,"")</f>
        <v>14</v>
      </c>
      <c r="B35" s="39" t="s">
        <v>69</v>
      </c>
      <c r="C35" s="47" t="s">
        <v>70</v>
      </c>
      <c r="D35" s="191">
        <f>D29/(D32*1000)</f>
        <v>50.327238243837485</v>
      </c>
      <c r="E35" s="191">
        <f>ROUND(D35*(1+'Taxes-Other-Exh. IX'!D44),2)</f>
        <v>52.28</v>
      </c>
      <c r="F35" s="35" t="str">
        <f>"Line "&amp;A29&amp;" ÷ (Line "&amp;A32&amp;" *1000)"</f>
        <v>Line 12 ÷ (Line 13 *1000)</v>
      </c>
    </row>
    <row r="36" spans="1:7">
      <c r="A36" s="37">
        <f>IF(ISNUMBER(D36),MAX(A$8:A35)+1,"")</f>
        <v>15</v>
      </c>
      <c r="B36" s="39" t="s">
        <v>71</v>
      </c>
      <c r="C36" s="40" t="s">
        <v>72</v>
      </c>
      <c r="D36" s="191">
        <f>D35/12</f>
        <v>4.1939365203197907</v>
      </c>
      <c r="E36" s="191">
        <f>ROUND(D36*(1+'Taxes-Other-Exh. IX'!D44),2)</f>
        <v>4.3600000000000003</v>
      </c>
      <c r="F36" s="35" t="str">
        <f>"Line "&amp;A35&amp;" ÷ 12 months"</f>
        <v>Line 14 ÷ 12 months</v>
      </c>
    </row>
    <row r="37" spans="1:7">
      <c r="A37" s="37">
        <f>IF(ISNUMBER(D37),MAX(A$8:A36)+1,"")</f>
        <v>16</v>
      </c>
      <c r="B37" s="39" t="s">
        <v>73</v>
      </c>
      <c r="C37" s="40" t="s">
        <v>74</v>
      </c>
      <c r="D37" s="191">
        <f>D35/52</f>
        <v>0.96783150468918244</v>
      </c>
      <c r="E37" s="191">
        <f>ROUND(D37*(1+'Taxes-Other-Exh. IX'!D44),2)</f>
        <v>1.01</v>
      </c>
      <c r="F37" s="35" t="str">
        <f>"Line "&amp;A35&amp;" ÷ 52 weeks"</f>
        <v>Line 14 ÷ 52 weeks</v>
      </c>
    </row>
    <row r="38" spans="1:7">
      <c r="A38" s="37">
        <f>IF(ISNUMBER(D38),MAX(A$8:A37)+1,"")</f>
        <v>17</v>
      </c>
      <c r="B38" s="39" t="s">
        <v>75</v>
      </c>
      <c r="C38" s="40" t="s">
        <v>76</v>
      </c>
      <c r="D38" s="191">
        <f>D37/7</f>
        <v>0.13826164352702605</v>
      </c>
      <c r="E38" s="191">
        <f>ROUND(D38*(1+'Taxes-Other-Exh. IX'!D44),2)</f>
        <v>0.14000000000000001</v>
      </c>
      <c r="F38" s="35" t="str">
        <f>"Line "&amp;A35&amp;" ÷ 7 days"</f>
        <v>Line 14 ÷ 7 days</v>
      </c>
      <c r="G38" s="1" t="s">
        <v>86</v>
      </c>
    </row>
    <row r="39" spans="1:7">
      <c r="A39" s="37">
        <f>IF(ISNUMBER(D39),MAX(A$8:A38)+1,"")</f>
        <v>18</v>
      </c>
      <c r="B39" s="39" t="s">
        <v>77</v>
      </c>
      <c r="C39" s="40" t="s">
        <v>78</v>
      </c>
      <c r="D39" s="192">
        <f>D35/8760</f>
        <v>5.7451185209860143E-3</v>
      </c>
      <c r="E39" s="191">
        <f>ROUND(D39*(1+'Taxes-Other-Exh. IX'!D44),2)</f>
        <v>0.01</v>
      </c>
      <c r="F39" s="35" t="str">
        <f>"Line "&amp;A35&amp;" ÷ 8,760 hours"</f>
        <v>Line 14 ÷ 8,760 hours</v>
      </c>
    </row>
    <row r="40" spans="1:7">
      <c r="A40" s="35"/>
      <c r="B40" s="35"/>
      <c r="C40" s="35"/>
      <c r="D40" s="35"/>
      <c r="E40" s="35"/>
      <c r="F40" s="35"/>
    </row>
    <row r="41" spans="1:7">
      <c r="A41" s="196" t="s">
        <v>87</v>
      </c>
      <c r="B41" s="39" t="s">
        <v>88</v>
      </c>
      <c r="C41"/>
      <c r="D41"/>
      <c r="E41"/>
      <c r="F41"/>
    </row>
    <row r="42" spans="1:7">
      <c r="B42" s="39" t="s">
        <v>89</v>
      </c>
      <c r="C42"/>
      <c r="D42"/>
      <c r="E42"/>
      <c r="F42"/>
    </row>
    <row r="43" spans="1:7">
      <c r="B43" s="39" t="s">
        <v>90</v>
      </c>
      <c r="C43"/>
      <c r="D43"/>
      <c r="E43"/>
      <c r="F43"/>
    </row>
    <row r="44" spans="1:7">
      <c r="B44" s="39" t="s">
        <v>91</v>
      </c>
      <c r="C44"/>
      <c r="D44"/>
      <c r="E44"/>
      <c r="F44"/>
    </row>
    <row r="45" spans="1:7">
      <c r="B45" s="39" t="s">
        <v>92</v>
      </c>
      <c r="C45"/>
      <c r="D45"/>
      <c r="E45"/>
      <c r="F45"/>
    </row>
    <row r="46" spans="1:7">
      <c r="B46"/>
      <c r="C46"/>
      <c r="D46"/>
      <c r="E46"/>
      <c r="F46"/>
    </row>
    <row r="47" spans="1:7">
      <c r="B47"/>
      <c r="C47"/>
      <c r="D47"/>
      <c r="E47"/>
      <c r="F47"/>
    </row>
    <row r="48" spans="1:7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</sheetData>
  <pageMargins left="0" right="0" top="0" bottom="0" header="0" footer="0"/>
  <pageSetup scale="70" orientation="portrait" r:id="rId1"/>
  <headerFooter>
    <oddHeader xml:space="preserve">&amp;RExhibit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5FD3-A00C-4352-923D-E9F4BC9D1BEE}">
  <sheetPr>
    <tabColor theme="8"/>
  </sheetPr>
  <dimension ref="A1:G48"/>
  <sheetViews>
    <sheetView workbookViewId="0">
      <selection activeCell="D11" sqref="D11"/>
    </sheetView>
  </sheetViews>
  <sheetFormatPr defaultColWidth="8.88671875" defaultRowHeight="18.75"/>
  <cols>
    <col min="1" max="1" width="8.88671875" style="1"/>
    <col min="2" max="2" width="43.6640625" style="1" customWidth="1"/>
    <col min="3" max="3" width="12.77734375" style="1" bestFit="1" customWidth="1"/>
    <col min="4" max="4" width="12.33203125" style="1" bestFit="1" customWidth="1"/>
    <col min="5" max="5" width="13.44140625" style="1" bestFit="1" customWidth="1"/>
    <col min="6" max="6" width="27.109375" style="1" bestFit="1" customWidth="1"/>
    <col min="7" max="16384" width="8.88671875" style="1"/>
  </cols>
  <sheetData>
    <row r="1" spans="1:6">
      <c r="A1" s="105" t="s">
        <v>42</v>
      </c>
      <c r="B1" s="102"/>
      <c r="C1" s="102"/>
      <c r="D1" s="102"/>
      <c r="E1" s="102"/>
      <c r="F1" s="102"/>
    </row>
    <row r="2" spans="1:6">
      <c r="A2" s="103" t="s">
        <v>93</v>
      </c>
      <c r="B2" s="103"/>
      <c r="C2" s="103"/>
      <c r="D2" s="103"/>
      <c r="E2" s="103"/>
      <c r="F2" s="103"/>
    </row>
    <row r="4" spans="1:6">
      <c r="A4" s="200"/>
      <c r="B4" s="200"/>
      <c r="C4" s="201"/>
      <c r="D4" s="202" t="s">
        <v>44</v>
      </c>
      <c r="E4" s="202"/>
      <c r="F4" s="202"/>
    </row>
    <row r="5" spans="1:6">
      <c r="A5" s="36" t="s">
        <v>45</v>
      </c>
      <c r="B5" s="200"/>
      <c r="C5" s="200"/>
      <c r="D5" s="200"/>
      <c r="E5" s="200" t="s">
        <v>46</v>
      </c>
      <c r="F5" s="200"/>
    </row>
    <row r="6" spans="1:6">
      <c r="A6" s="203" t="s">
        <v>47</v>
      </c>
      <c r="B6" s="203" t="s">
        <v>48</v>
      </c>
      <c r="C6" s="203" t="s">
        <v>49</v>
      </c>
      <c r="D6" s="203" t="s">
        <v>2</v>
      </c>
      <c r="E6" s="203" t="s">
        <v>50</v>
      </c>
      <c r="F6" s="203" t="s">
        <v>51</v>
      </c>
    </row>
    <row r="7" spans="1:6">
      <c r="A7" s="200"/>
      <c r="B7" s="36" t="s">
        <v>52</v>
      </c>
      <c r="C7" s="36" t="s">
        <v>53</v>
      </c>
      <c r="D7" s="36" t="s">
        <v>54</v>
      </c>
      <c r="E7" s="204" t="s">
        <v>55</v>
      </c>
      <c r="F7" s="204" t="s">
        <v>56</v>
      </c>
    </row>
    <row r="8" spans="1:6">
      <c r="A8" s="35"/>
      <c r="B8" s="36"/>
      <c r="C8" s="36"/>
      <c r="D8" s="36"/>
      <c r="E8" s="36"/>
      <c r="F8" s="36"/>
    </row>
    <row r="9" spans="1:6">
      <c r="A9" s="37"/>
      <c r="B9" s="68" t="s">
        <v>57</v>
      </c>
      <c r="C9" s="36"/>
      <c r="D9" s="36"/>
      <c r="E9" s="36"/>
      <c r="F9" s="36"/>
    </row>
    <row r="10" spans="1:6">
      <c r="A10" s="37"/>
      <c r="B10" s="38" t="s">
        <v>58</v>
      </c>
      <c r="C10" s="35"/>
      <c r="D10" s="35"/>
      <c r="E10" s="35"/>
      <c r="F10" s="35"/>
    </row>
    <row r="11" spans="1:6">
      <c r="A11" s="37">
        <f>IF(ISNUMBER(D11),MAX(A$8:A10)+1,"")</f>
        <v>1</v>
      </c>
      <c r="B11" s="39" t="s">
        <v>59</v>
      </c>
      <c r="C11" s="40" t="s">
        <v>60</v>
      </c>
      <c r="D11" s="41">
        <f>'Cost of Service-Exh. II'!D41</f>
        <v>21487907.699999999</v>
      </c>
      <c r="E11" s="41"/>
      <c r="F11" s="35" t="s">
        <v>61</v>
      </c>
    </row>
    <row r="12" spans="1:6">
      <c r="A12" s="37">
        <f>IF(ISNUMBER(D12),MAX(A$8:A11)+1,"")</f>
        <v>2</v>
      </c>
      <c r="B12" s="39" t="s">
        <v>62</v>
      </c>
      <c r="C12" s="40"/>
      <c r="D12" s="42">
        <f>'Allocation Factors-Exh. III'!J17</f>
        <v>1</v>
      </c>
      <c r="E12" s="42"/>
      <c r="F12" s="35"/>
    </row>
    <row r="13" spans="1:6">
      <c r="A13" s="37">
        <f>IF(ISNUMBER(D13),MAX(A$8:A12)+1,"")</f>
        <v>3</v>
      </c>
      <c r="B13" s="39" t="s">
        <v>63</v>
      </c>
      <c r="C13" s="40"/>
      <c r="D13" s="43">
        <f>(D11*D12)</f>
        <v>21487907.699999999</v>
      </c>
      <c r="E13" s="190"/>
      <c r="F13" s="35" t="str">
        <f>"Line "&amp;A11&amp;" * Line "&amp;A12</f>
        <v>Line 1 * Line 2</v>
      </c>
    </row>
    <row r="14" spans="1:6">
      <c r="A14" s="37" t="str">
        <f>IF(ISNUMBER(D14),MAX(A$8:A13)+1,"")</f>
        <v/>
      </c>
      <c r="B14" s="36"/>
      <c r="C14" s="36"/>
      <c r="D14" s="36"/>
      <c r="E14" s="36"/>
      <c r="F14" s="36"/>
    </row>
    <row r="15" spans="1:6">
      <c r="A15" s="37" t="str">
        <f>IF(ISNUMBER(D15),MAX(A$8:A14)+1,"")</f>
        <v/>
      </c>
      <c r="B15" s="44" t="s">
        <v>64</v>
      </c>
      <c r="C15" s="35"/>
      <c r="D15" s="35"/>
      <c r="E15" s="35"/>
      <c r="F15" s="35"/>
    </row>
    <row r="16" spans="1:6">
      <c r="A16" s="37">
        <f>IF(ISNUMBER(D16),MAX(A$8:A15)+1,"")</f>
        <v>4</v>
      </c>
      <c r="B16" s="279" t="s">
        <v>94</v>
      </c>
      <c r="C16" s="40" t="s">
        <v>66</v>
      </c>
      <c r="D16" s="280">
        <f>'System Load-Exh. XII'!T25</f>
        <v>742.49280147046682</v>
      </c>
      <c r="E16" s="45">
        <v>0</v>
      </c>
      <c r="F16" s="35" t="s">
        <v>67</v>
      </c>
    </row>
    <row r="17" spans="1:7">
      <c r="A17" s="37" t="str">
        <f>IF(ISNUMBER(D17),MAX(A$8:A16)+1,"")</f>
        <v/>
      </c>
      <c r="B17" s="35"/>
      <c r="C17" s="40"/>
      <c r="D17" s="35"/>
      <c r="E17" s="35"/>
      <c r="F17" s="46"/>
    </row>
    <row r="18" spans="1:7">
      <c r="A18" s="37" t="str">
        <f>IF(ISNUMBER(D18),MAX(A$8:A17)+1,"")</f>
        <v/>
      </c>
      <c r="B18" s="69" t="s">
        <v>68</v>
      </c>
      <c r="C18" s="40"/>
      <c r="D18" s="35"/>
      <c r="E18" s="35"/>
      <c r="F18" s="46"/>
    </row>
    <row r="19" spans="1:7">
      <c r="A19" s="37">
        <f>IF(ISNUMBER(D19),MAX(A$8:A18)+1,"")</f>
        <v>5</v>
      </c>
      <c r="B19" s="39" t="s">
        <v>95</v>
      </c>
      <c r="C19" s="40" t="s">
        <v>72</v>
      </c>
      <c r="D19" s="48">
        <f>D13/(D16*1000)/12</f>
        <v>2.4116853004550305</v>
      </c>
      <c r="E19" s="191">
        <f>ROUND(D19*(1+'Taxes-Other-Exh. IX'!D44),2)</f>
        <v>2.5099999999999998</v>
      </c>
      <c r="F19" s="35" t="str">
        <f>"Line "&amp;A13&amp;" ÷ (Line "&amp;A16&amp;" *1000) ÷ 12"</f>
        <v>Line 3 ÷ (Line 4 *1000) ÷ 12</v>
      </c>
    </row>
    <row r="20" spans="1:7">
      <c r="A20" s="37">
        <f>IF(ISNUMBER(D20),MAX(A$8:A19)+1,"")</f>
        <v>6</v>
      </c>
      <c r="B20" s="39" t="s">
        <v>75</v>
      </c>
      <c r="C20" s="40" t="s">
        <v>76</v>
      </c>
      <c r="D20" s="48">
        <f>D13/(D16*1000)/(52*7)</f>
        <v>7.9506108806209785E-2</v>
      </c>
      <c r="E20" s="191">
        <f>ROUND(D20*(1+'Taxes-Other-Exh. IX'!D44),2)</f>
        <v>0.08</v>
      </c>
      <c r="F20" s="35" t="str">
        <f>"Line "&amp;A13&amp;" ÷ (Line "&amp;A16&amp;" *1000) ÷ (52*7)"</f>
        <v>Line 3 ÷ (Line 4 *1000) ÷ (52*7)</v>
      </c>
    </row>
    <row r="21" spans="1:7">
      <c r="A21" s="37">
        <f>IF(ISNUMBER(D21),MAX(A$8:A20)+1,"")</f>
        <v>7</v>
      </c>
      <c r="B21" s="39" t="s">
        <v>77</v>
      </c>
      <c r="C21" s="40" t="s">
        <v>78</v>
      </c>
      <c r="D21" s="49">
        <f>D13/(D16*1000)/8760</f>
        <v>3.3036784937740143E-3</v>
      </c>
      <c r="E21" s="192">
        <f>ROUND(D21*(1+'Taxes-Other-Exh. IX'!D44),5)</f>
        <v>3.4299999999999999E-3</v>
      </c>
      <c r="F21" s="35" t="str">
        <f>"Line "&amp;A13&amp;" ÷ (Line "&amp;A16&amp;" *1000) ÷ 8760"</f>
        <v>Line 3 ÷ (Line 4 *1000) ÷ 8760</v>
      </c>
    </row>
    <row r="22" spans="1:7">
      <c r="A22" s="37" t="str">
        <f>IF(ISNUMBER(D22),MAX(A$8:A21)+1,"")</f>
        <v/>
      </c>
      <c r="B22" s="35"/>
      <c r="C22" s="35"/>
      <c r="D22" s="35"/>
      <c r="E22" s="35"/>
      <c r="F22" s="35"/>
    </row>
    <row r="23" spans="1:7">
      <c r="A23" s="37" t="str">
        <f>IF(ISNUMBER(D23),MAX(A$8:A22)+1,"")</f>
        <v/>
      </c>
      <c r="B23" s="68" t="s">
        <v>79</v>
      </c>
      <c r="C23" s="35"/>
      <c r="D23" s="35"/>
      <c r="E23" s="35"/>
      <c r="F23" s="35"/>
    </row>
    <row r="24" spans="1:7">
      <c r="A24" s="37" t="str">
        <f>IF(ISNUMBER(D24),MAX(A$8:A23)+1,"")</f>
        <v/>
      </c>
      <c r="B24" s="38" t="s">
        <v>58</v>
      </c>
      <c r="C24" s="35"/>
      <c r="D24" s="35"/>
      <c r="E24" s="35"/>
      <c r="F24" s="35"/>
    </row>
    <row r="25" spans="1:7">
      <c r="A25" s="37">
        <f>IF(ISNUMBER(D25),MAX(A$8:A24)+1,"")</f>
        <v>8</v>
      </c>
      <c r="B25" s="39" t="s">
        <v>80</v>
      </c>
      <c r="C25" s="40" t="s">
        <v>60</v>
      </c>
      <c r="D25" s="41">
        <f>'Cost of Service-Exh. II'!E41</f>
        <v>54056618.149999999</v>
      </c>
      <c r="E25" s="41"/>
      <c r="F25" s="35" t="s">
        <v>61</v>
      </c>
    </row>
    <row r="26" spans="1:7">
      <c r="A26" s="37">
        <f>IF(ISNUMBER(D26),MAX(A$8:A25)+1,"")</f>
        <v>9</v>
      </c>
      <c r="B26" s="39" t="s">
        <v>81</v>
      </c>
      <c r="C26" s="40"/>
      <c r="D26" s="42">
        <f>'Allocation Factors-Exh. III'!J31</f>
        <v>0.68016043575483931</v>
      </c>
      <c r="E26" s="42"/>
      <c r="F26" s="35" t="s">
        <v>82</v>
      </c>
    </row>
    <row r="27" spans="1:7">
      <c r="A27" s="37">
        <f>IF(ISNUMBER(D27),MAX(A$8:A26)+1,"")</f>
        <v>10</v>
      </c>
      <c r="B27" s="39" t="s">
        <v>83</v>
      </c>
      <c r="C27" s="40"/>
      <c r="D27" s="43">
        <f>D25*D26</f>
        <v>36767172.956336953</v>
      </c>
      <c r="E27" s="190"/>
      <c r="F27" s="35" t="str">
        <f>"Line "&amp;A24&amp;" * Line "&amp;A25</f>
        <v>Line  * Line 8</v>
      </c>
    </row>
    <row r="28" spans="1:7">
      <c r="A28" s="37" t="str">
        <f>IF(ISNUMBER(D28),MAX(A$8:A27)+1,"")</f>
        <v/>
      </c>
      <c r="B28" s="44"/>
      <c r="C28" s="36"/>
      <c r="D28" s="36"/>
      <c r="E28" s="36"/>
      <c r="F28" s="36"/>
    </row>
    <row r="29" spans="1:7">
      <c r="A29" s="37" t="str">
        <f>IF(ISNUMBER(D29),MAX(A$8:A28)+1,"")</f>
        <v/>
      </c>
      <c r="B29" s="44" t="s">
        <v>64</v>
      </c>
      <c r="C29" s="35"/>
      <c r="D29" s="35"/>
      <c r="E29" s="35"/>
      <c r="F29" s="35"/>
    </row>
    <row r="30" spans="1:7">
      <c r="A30" s="37">
        <f>IF(ISNUMBER(D30),MAX(A$8:A29)+1,"")</f>
        <v>11</v>
      </c>
      <c r="B30" s="39" t="s">
        <v>84</v>
      </c>
      <c r="C30" s="40" t="s">
        <v>66</v>
      </c>
      <c r="D30" s="280">
        <f>'System Load-Exh. XII'!S25</f>
        <v>730.56210194166681</v>
      </c>
      <c r="E30" s="45"/>
      <c r="F30" s="35"/>
    </row>
    <row r="31" spans="1:7">
      <c r="A31" s="37" t="str">
        <f>IF(ISNUMBER(D31),MAX(A$8:A30)+1,"")</f>
        <v/>
      </c>
      <c r="B31" s="50"/>
      <c r="C31" s="40"/>
      <c r="D31" s="35"/>
      <c r="E31" s="35"/>
      <c r="F31" s="46"/>
    </row>
    <row r="32" spans="1:7">
      <c r="A32" s="37" t="str">
        <f>IF(ISNUMBER(D32),MAX(A$8:A31)+1,"")</f>
        <v/>
      </c>
      <c r="B32" s="69" t="s">
        <v>85</v>
      </c>
      <c r="C32" s="40"/>
      <c r="D32" s="35"/>
      <c r="E32" s="35"/>
      <c r="F32" s="46"/>
      <c r="G32" s="1" t="s">
        <v>86</v>
      </c>
    </row>
    <row r="33" spans="1:6">
      <c r="A33" s="37">
        <f>IF(ISNUMBER(D33),MAX(A$8:A32)+1,"")</f>
        <v>12</v>
      </c>
      <c r="B33" s="39" t="s">
        <v>95</v>
      </c>
      <c r="C33" s="40" t="s">
        <v>72</v>
      </c>
      <c r="D33" s="191">
        <f>D27/(D30*1000)/12</f>
        <v>4.1939365203197907</v>
      </c>
      <c r="E33" s="191">
        <f>ROUND(D33*(1+'Taxes-Other-Exh. IX'!D44),2)</f>
        <v>4.3600000000000003</v>
      </c>
      <c r="F33" s="35" t="str">
        <f>"Line "&amp;A26&amp;" ÷ (Line "&amp;A30&amp;" *1000) ÷ 12"</f>
        <v>Line 9 ÷ (Line 11 *1000) ÷ 12</v>
      </c>
    </row>
    <row r="34" spans="1:6">
      <c r="A34" s="37">
        <f>IF(ISNUMBER(D34),MAX(A$8:A33)+1,"")</f>
        <v>13</v>
      </c>
      <c r="B34" s="39" t="s">
        <v>75</v>
      </c>
      <c r="C34" s="40" t="s">
        <v>76</v>
      </c>
      <c r="D34" s="191">
        <f>D27/(D30*1000)/(52*7)</f>
        <v>0.13826164352702605</v>
      </c>
      <c r="E34" s="191">
        <f>ROUND(D34*(1+'Taxes-Other-Exh. IX'!D44),2)</f>
        <v>0.14000000000000001</v>
      </c>
      <c r="F34" s="35" t="str">
        <f>"Line "&amp;A26&amp;" ÷ (Line "&amp;A30&amp;" *1000) ÷ (52*7)"</f>
        <v>Line 9 ÷ (Line 11 *1000) ÷ (52*7)</v>
      </c>
    </row>
    <row r="35" spans="1:6">
      <c r="A35" s="37">
        <f>IF(ISNUMBER(D35),MAX(A$8:A34)+1,"")</f>
        <v>14</v>
      </c>
      <c r="B35" s="39" t="s">
        <v>77</v>
      </c>
      <c r="C35" s="40" t="s">
        <v>78</v>
      </c>
      <c r="D35" s="192">
        <f>D27/(D30*1000)/8760</f>
        <v>5.7451185209860143E-3</v>
      </c>
      <c r="E35" s="278">
        <f>ROUND(D35*(1+'Taxes-Other-Exh. IX'!D44),2)</f>
        <v>0.01</v>
      </c>
      <c r="F35" s="35" t="str">
        <f>"Line "&amp;A26&amp;" ÷ (Line "&amp;A30&amp;" *1000) ÷ 8760"</f>
        <v>Line 9 ÷ (Line 11 *1000) ÷ 8760</v>
      </c>
    </row>
    <row r="36" spans="1:6">
      <c r="A36" s="37"/>
      <c r="B36" s="39"/>
      <c r="C36" s="40"/>
      <c r="D36" s="192"/>
      <c r="E36" s="278"/>
      <c r="F36" s="35"/>
    </row>
    <row r="37" spans="1:6">
      <c r="A37" s="196" t="s">
        <v>87</v>
      </c>
      <c r="B37" s="35"/>
      <c r="C37" s="35"/>
      <c r="D37" s="35"/>
      <c r="E37" s="35"/>
      <c r="F37" s="35"/>
    </row>
    <row r="38" spans="1:6">
      <c r="B38" s="39" t="s">
        <v>88</v>
      </c>
      <c r="C38"/>
      <c r="D38"/>
      <c r="E38"/>
      <c r="F38"/>
    </row>
    <row r="39" spans="1:6">
      <c r="B39" s="39" t="s">
        <v>89</v>
      </c>
      <c r="C39"/>
      <c r="D39"/>
      <c r="E39"/>
      <c r="F39"/>
    </row>
    <row r="40" spans="1:6">
      <c r="B40" s="39" t="s">
        <v>90</v>
      </c>
      <c r="C40"/>
      <c r="D40"/>
      <c r="E40"/>
      <c r="F40"/>
    </row>
    <row r="41" spans="1:6">
      <c r="B41" s="39" t="s">
        <v>91</v>
      </c>
      <c r="C41"/>
      <c r="D41"/>
      <c r="E41"/>
      <c r="F41"/>
    </row>
    <row r="42" spans="1:6">
      <c r="B42" s="39" t="s">
        <v>92</v>
      </c>
      <c r="C42"/>
      <c r="D42"/>
      <c r="E42"/>
      <c r="F42"/>
    </row>
    <row r="43" spans="1:6">
      <c r="B43"/>
      <c r="C43"/>
      <c r="D43"/>
      <c r="E43"/>
      <c r="F43"/>
    </row>
    <row r="44" spans="1:6">
      <c r="B44"/>
      <c r="C44"/>
      <c r="D44"/>
      <c r="E44"/>
      <c r="F44"/>
    </row>
    <row r="45" spans="1:6">
      <c r="B45"/>
      <c r="C45"/>
      <c r="D45"/>
      <c r="E45"/>
      <c r="F45"/>
    </row>
    <row r="46" spans="1:6">
      <c r="B46"/>
      <c r="C46"/>
      <c r="D46"/>
      <c r="E46"/>
      <c r="F46"/>
    </row>
    <row r="47" spans="1:6">
      <c r="B47"/>
      <c r="C47"/>
      <c r="D47"/>
      <c r="E47"/>
      <c r="F47"/>
    </row>
    <row r="48" spans="1:6">
      <c r="B48"/>
      <c r="C48"/>
      <c r="D48"/>
      <c r="E48"/>
      <c r="F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12E0-3A81-491C-A7BC-593866E50236}">
  <sheetPr>
    <tabColor theme="8"/>
  </sheetPr>
  <dimension ref="A1:G59"/>
  <sheetViews>
    <sheetView workbookViewId="0"/>
  </sheetViews>
  <sheetFormatPr defaultColWidth="8.88671875" defaultRowHeight="18.75"/>
  <cols>
    <col min="1" max="1" width="8.88671875" style="1"/>
    <col min="2" max="2" width="43.6640625" style="1" customWidth="1"/>
    <col min="3" max="3" width="12.77734375" style="1" bestFit="1" customWidth="1"/>
    <col min="4" max="4" width="12.33203125" style="1" bestFit="1" customWidth="1"/>
    <col min="5" max="5" width="13.44140625" style="1" bestFit="1" customWidth="1"/>
    <col min="6" max="6" width="27.109375" style="1" bestFit="1" customWidth="1"/>
    <col min="7" max="16384" width="8.88671875" style="1"/>
  </cols>
  <sheetData>
    <row r="1" spans="1:6">
      <c r="A1" s="105" t="s">
        <v>42</v>
      </c>
      <c r="B1" s="102"/>
      <c r="C1" s="102"/>
      <c r="D1" s="102"/>
      <c r="E1" s="102"/>
      <c r="F1" s="102"/>
    </row>
    <row r="2" spans="1:6">
      <c r="A2" s="103" t="s">
        <v>93</v>
      </c>
      <c r="B2" s="103"/>
      <c r="C2" s="103"/>
      <c r="D2" s="103"/>
      <c r="E2" s="103"/>
      <c r="F2" s="103"/>
    </row>
    <row r="4" spans="1:6">
      <c r="A4" s="200"/>
      <c r="B4" s="200"/>
      <c r="C4" s="201"/>
      <c r="D4" s="202" t="s">
        <v>44</v>
      </c>
      <c r="E4" s="202"/>
      <c r="F4" s="202"/>
    </row>
    <row r="5" spans="1:6">
      <c r="A5" s="36" t="s">
        <v>45</v>
      </c>
      <c r="B5" s="200"/>
      <c r="C5" s="200"/>
      <c r="D5" s="200"/>
      <c r="E5" s="200" t="s">
        <v>46</v>
      </c>
      <c r="F5" s="200"/>
    </row>
    <row r="6" spans="1:6">
      <c r="A6" s="203" t="s">
        <v>47</v>
      </c>
      <c r="B6" s="203" t="s">
        <v>48</v>
      </c>
      <c r="C6" s="203" t="s">
        <v>49</v>
      </c>
      <c r="D6" s="203" t="s">
        <v>2</v>
      </c>
      <c r="E6" s="203" t="s">
        <v>50</v>
      </c>
      <c r="F6" s="203" t="s">
        <v>51</v>
      </c>
    </row>
    <row r="7" spans="1:6">
      <c r="A7" s="200"/>
      <c r="B7" s="36" t="s">
        <v>52</v>
      </c>
      <c r="C7" s="36" t="s">
        <v>53</v>
      </c>
      <c r="D7" s="36" t="s">
        <v>54</v>
      </c>
      <c r="E7" s="204" t="s">
        <v>55</v>
      </c>
      <c r="F7" s="204" t="s">
        <v>56</v>
      </c>
    </row>
    <row r="8" spans="1:6">
      <c r="A8" s="35"/>
      <c r="B8" s="36"/>
      <c r="C8" s="36"/>
      <c r="D8" s="36"/>
      <c r="E8" s="36"/>
      <c r="F8" s="36"/>
    </row>
    <row r="9" spans="1:6">
      <c r="A9" s="37"/>
      <c r="B9" s="68" t="s">
        <v>57</v>
      </c>
      <c r="C9" s="36"/>
      <c r="D9" s="36"/>
      <c r="E9" s="36"/>
      <c r="F9" s="36"/>
    </row>
    <row r="10" spans="1:6">
      <c r="A10" s="37"/>
      <c r="B10" s="38" t="s">
        <v>58</v>
      </c>
      <c r="C10" s="35"/>
      <c r="D10" s="35"/>
      <c r="E10" s="35"/>
      <c r="F10" s="35"/>
    </row>
    <row r="11" spans="1:6">
      <c r="A11" s="37">
        <f>IF(ISNUMBER(D11),MAX(A$8:A10)+1,"")</f>
        <v>1</v>
      </c>
      <c r="B11" s="39" t="s">
        <v>59</v>
      </c>
      <c r="C11" s="40" t="s">
        <v>60</v>
      </c>
      <c r="D11" s="41">
        <f>'Cost of Service-Exh. II'!D41</f>
        <v>21487907.699999999</v>
      </c>
      <c r="E11" s="41"/>
      <c r="F11" s="35" t="s">
        <v>61</v>
      </c>
    </row>
    <row r="12" spans="1:6">
      <c r="A12" s="37">
        <f>IF(ISNUMBER(D12),MAX(A$8:A11)+1,"")</f>
        <v>2</v>
      </c>
      <c r="B12" s="39" t="s">
        <v>62</v>
      </c>
      <c r="C12" s="40"/>
      <c r="D12" s="42">
        <f>'[1]Allocation Factors-Exh. III'!J17</f>
        <v>1</v>
      </c>
      <c r="E12" s="42"/>
      <c r="F12" s="35"/>
    </row>
    <row r="13" spans="1:6">
      <c r="A13" s="37">
        <f>IF(ISNUMBER(D13),MAX(A$8:A12)+1,"")</f>
        <v>3</v>
      </c>
      <c r="B13" s="39" t="s">
        <v>63</v>
      </c>
      <c r="C13" s="40"/>
      <c r="D13" s="43">
        <f>(D11*D12)</f>
        <v>21487907.699999999</v>
      </c>
      <c r="E13" s="190"/>
      <c r="F13" s="35" t="str">
        <f>"Line "&amp;A11&amp;" * Line "&amp;A12</f>
        <v>Line 1 * Line 2</v>
      </c>
    </row>
    <row r="14" spans="1:6">
      <c r="A14" s="37" t="str">
        <f>IF(ISNUMBER(D14),MAX(A$8:A13)+1,"")</f>
        <v/>
      </c>
      <c r="B14" s="36"/>
      <c r="C14" s="36"/>
      <c r="D14" s="36"/>
      <c r="E14" s="36"/>
      <c r="F14" s="36"/>
    </row>
    <row r="15" spans="1:6">
      <c r="A15" s="37" t="str">
        <f>IF(ISNUMBER(D15),MAX(A$8:A14)+1,"")</f>
        <v/>
      </c>
      <c r="B15" s="44" t="s">
        <v>64</v>
      </c>
      <c r="C15" s="35"/>
      <c r="D15" s="35"/>
      <c r="E15" s="35"/>
      <c r="F15" s="35"/>
    </row>
    <row r="16" spans="1:6">
      <c r="A16" s="37">
        <f>IF(ISNUMBER(D16),MAX(A$8:A15)+1,"")</f>
        <v>4</v>
      </c>
      <c r="B16" s="279" t="s">
        <v>94</v>
      </c>
      <c r="C16" s="40" t="s">
        <v>66</v>
      </c>
      <c r="D16" s="280">
        <f>'System Load-Exh. XII'!T25</f>
        <v>742.49280147046682</v>
      </c>
      <c r="E16" s="45">
        <v>0</v>
      </c>
      <c r="F16" s="35" t="s">
        <v>67</v>
      </c>
    </row>
    <row r="17" spans="1:6">
      <c r="A17" s="37" t="str">
        <f>IF(ISNUMBER(D17),MAX(A$8:A16)+1,"")</f>
        <v/>
      </c>
      <c r="B17" s="35"/>
      <c r="C17" s="40"/>
      <c r="D17" s="35"/>
      <c r="E17" s="35"/>
      <c r="F17" s="46"/>
    </row>
    <row r="18" spans="1:6">
      <c r="A18" s="37" t="str">
        <f>IF(ISNUMBER(D18),MAX(A$8:A17)+1,"")</f>
        <v/>
      </c>
      <c r="B18" s="69" t="s">
        <v>68</v>
      </c>
      <c r="C18" s="40"/>
      <c r="D18" s="35"/>
      <c r="E18" s="35"/>
      <c r="F18" s="46"/>
    </row>
    <row r="19" spans="1:6">
      <c r="A19" s="37">
        <f>IF(ISNUMBER(D19),MAX(A$8:A18)+1,"")</f>
        <v>5</v>
      </c>
      <c r="B19" s="279" t="s">
        <v>73</v>
      </c>
      <c r="C19" s="47" t="s">
        <v>96</v>
      </c>
      <c r="D19" s="48">
        <f>D13/(D16*1000)/52</f>
        <v>0.5565427616434685</v>
      </c>
      <c r="E19" s="191">
        <f>ROUND(D19*(1+'Taxes-Other-Exh. IX'!D44),2)</f>
        <v>0.57999999999999996</v>
      </c>
      <c r="F19" s="35" t="str">
        <f>"Line "&amp;A13&amp;" ÷ (Line "&amp;A16&amp;" *1000) ÷ 52"</f>
        <v>Line 3 ÷ (Line 4 *1000) ÷ 52</v>
      </c>
    </row>
    <row r="20" spans="1:6">
      <c r="A20" s="37" t="str">
        <f>IF(ISNUMBER(D20),MAX(A$8:A19)+1,"")</f>
        <v/>
      </c>
      <c r="B20" s="39"/>
      <c r="C20" s="40"/>
      <c r="D20" s="35"/>
      <c r="E20" s="35"/>
      <c r="F20" s="46"/>
    </row>
    <row r="21" spans="1:6">
      <c r="A21" s="37" t="str">
        <f>IF(ISNUMBER(D21),MAX(A$8:A20)+1,"")</f>
        <v/>
      </c>
      <c r="B21" s="69" t="s">
        <v>97</v>
      </c>
      <c r="C21" s="40"/>
      <c r="D21" s="35"/>
      <c r="E21" s="35"/>
      <c r="F21" s="46"/>
    </row>
    <row r="22" spans="1:6">
      <c r="A22" s="37">
        <f>IF(ISNUMBER(D22),MAX(A$8:A21)+1,"")</f>
        <v>6</v>
      </c>
      <c r="B22" s="39" t="s">
        <v>98</v>
      </c>
      <c r="C22" s="40" t="s">
        <v>76</v>
      </c>
      <c r="D22" s="48">
        <f>D19/5</f>
        <v>0.1113085523286937</v>
      </c>
      <c r="E22" s="191">
        <f>ROUND(D22*(1+'Taxes-Other-Exh. IX'!D44),2)</f>
        <v>0.12</v>
      </c>
      <c r="F22" s="35" t="str">
        <f>"Line "&amp;$A$19&amp;" ÷ 5 days"</f>
        <v>Line 5 ÷ 5 days</v>
      </c>
    </row>
    <row r="23" spans="1:6">
      <c r="A23" s="37">
        <f>IF(ISNUMBER(D23),MAX(A$8:A22)+1,"")</f>
        <v>7</v>
      </c>
      <c r="B23" s="39" t="s">
        <v>99</v>
      </c>
      <c r="C23" s="40" t="s">
        <v>76</v>
      </c>
      <c r="D23" s="48">
        <f>D19/7</f>
        <v>7.9506108806209785E-2</v>
      </c>
      <c r="E23" s="191">
        <f>ROUND(D23*(1+'Taxes-Other-Exh. IX'!D44),5)</f>
        <v>8.2589999999999997E-2</v>
      </c>
      <c r="F23" s="35" t="str">
        <f>"Line "&amp;$A$19&amp;" ÷ 7 days"</f>
        <v>Line 5 ÷ 7 days</v>
      </c>
    </row>
    <row r="24" spans="1:6">
      <c r="A24" s="37" t="str">
        <f>IF(ISNUMBER(D24),MAX(A$8:A23)+1,"")</f>
        <v/>
      </c>
      <c r="B24" s="35"/>
      <c r="C24" s="35"/>
      <c r="D24" s="35"/>
      <c r="E24" s="35"/>
      <c r="F24" s="35"/>
    </row>
    <row r="25" spans="1:6">
      <c r="A25" s="37" t="str">
        <f>IF(ISNUMBER(D25),MAX(A$8:A24)+1,"")</f>
        <v/>
      </c>
      <c r="B25" s="69" t="s">
        <v>100</v>
      </c>
      <c r="C25" s="35"/>
      <c r="D25" s="35"/>
      <c r="E25" s="35"/>
      <c r="F25" s="35"/>
    </row>
    <row r="26" spans="1:6">
      <c r="A26" s="37">
        <f>IF(ISNUMBER(D26),MAX(A$8:A25)+1,"")</f>
        <v>8</v>
      </c>
      <c r="B26" s="279" t="s">
        <v>101</v>
      </c>
      <c r="C26" s="281" t="s">
        <v>78</v>
      </c>
      <c r="D26" s="282">
        <f>D22/16</f>
        <v>6.9567845205433564E-3</v>
      </c>
      <c r="E26" s="278">
        <f>ROUND(D26*(1+'Taxes-Other-Exh. IX'!D44),5)</f>
        <v>7.2300000000000003E-3</v>
      </c>
      <c r="F26" s="35" t="str">
        <f>"Line "&amp;$A$22&amp;" ÷ 16 hours"</f>
        <v>Line 6 ÷ 16 hours</v>
      </c>
    </row>
    <row r="27" spans="1:6">
      <c r="A27" s="37">
        <f>IF(ISNUMBER(D27),MAX(A$8:A26)+1,"")</f>
        <v>9</v>
      </c>
      <c r="B27" s="279" t="s">
        <v>102</v>
      </c>
      <c r="C27" s="281" t="s">
        <v>78</v>
      </c>
      <c r="D27" s="282">
        <f>D23/24</f>
        <v>3.3127545335920744E-3</v>
      </c>
      <c r="E27" s="278">
        <f>ROUND(D27*(1+'Taxes-Other-Exh. IX'!D44),5)</f>
        <v>3.4399999999999999E-3</v>
      </c>
      <c r="F27" s="35" t="str">
        <f>"Line "&amp;$A$23&amp;" ÷ 24 hours"</f>
        <v>Line 7 ÷ 24 hours</v>
      </c>
    </row>
    <row r="28" spans="1:6">
      <c r="A28" s="37" t="str">
        <f>IF(ISNUMBER(D28),MAX(A$8:A27)+1,"")</f>
        <v/>
      </c>
      <c r="B28" s="35"/>
      <c r="C28" s="35"/>
      <c r="D28" s="35"/>
      <c r="E28" s="35"/>
      <c r="F28" s="35"/>
    </row>
    <row r="29" spans="1:6">
      <c r="A29" s="37" t="str">
        <f>IF(ISNUMBER(D29),MAX(A$8:A28)+1,"")</f>
        <v/>
      </c>
      <c r="B29" s="68" t="s">
        <v>79</v>
      </c>
      <c r="C29" s="35"/>
      <c r="D29" s="35"/>
      <c r="E29" s="35"/>
      <c r="F29" s="35"/>
    </row>
    <row r="30" spans="1:6">
      <c r="A30" s="37" t="str">
        <f>IF(ISNUMBER(D30),MAX(A$8:A29)+1,"")</f>
        <v/>
      </c>
      <c r="B30" s="38" t="s">
        <v>58</v>
      </c>
      <c r="C30" s="35"/>
      <c r="D30" s="35"/>
      <c r="E30" s="35"/>
      <c r="F30" s="35"/>
    </row>
    <row r="31" spans="1:6">
      <c r="A31" s="37">
        <f>IF(ISNUMBER(D31),MAX(A$8:A30)+1,"")</f>
        <v>10</v>
      </c>
      <c r="B31" s="39" t="s">
        <v>80</v>
      </c>
      <c r="C31" s="40" t="s">
        <v>60</v>
      </c>
      <c r="D31" s="41">
        <f>'Cost of Service-Exh. II'!E41</f>
        <v>54056618.149999999</v>
      </c>
      <c r="E31" s="41"/>
      <c r="F31" s="35" t="s">
        <v>61</v>
      </c>
    </row>
    <row r="32" spans="1:6">
      <c r="A32" s="37">
        <f>IF(ISNUMBER(D32),MAX(A$8:A31)+1,"")</f>
        <v>11</v>
      </c>
      <c r="B32" s="39" t="s">
        <v>81</v>
      </c>
      <c r="C32" s="40"/>
      <c r="D32" s="42">
        <f>'[1]Allocation Factors-Exh. III'!J31</f>
        <v>0.68016043575483931</v>
      </c>
      <c r="E32" s="42"/>
      <c r="F32" s="35" t="s">
        <v>82</v>
      </c>
    </row>
    <row r="33" spans="1:7">
      <c r="A33" s="37">
        <f>IF(ISNUMBER(D33),MAX(A$8:A32)+1,"")</f>
        <v>12</v>
      </c>
      <c r="B33" s="39" t="s">
        <v>83</v>
      </c>
      <c r="C33" s="40"/>
      <c r="D33" s="43">
        <f>D31*D32</f>
        <v>36767172.956336953</v>
      </c>
      <c r="E33" s="190"/>
      <c r="F33" s="35" t="str">
        <f>"Line "&amp;A31&amp;" * Line "&amp;A32</f>
        <v>Line 10 * Line 11</v>
      </c>
    </row>
    <row r="34" spans="1:7">
      <c r="A34" s="37" t="str">
        <f>IF(ISNUMBER(D34),MAX(A$8:A33)+1,"")</f>
        <v/>
      </c>
      <c r="B34" s="44"/>
      <c r="C34" s="36"/>
      <c r="D34" s="36"/>
      <c r="E34" s="36"/>
      <c r="F34" s="36"/>
    </row>
    <row r="35" spans="1:7">
      <c r="A35" s="37" t="str">
        <f>IF(ISNUMBER(D35),MAX(A$8:A34)+1,"")</f>
        <v/>
      </c>
      <c r="B35" s="44" t="s">
        <v>64</v>
      </c>
      <c r="C35" s="35"/>
      <c r="D35" s="35"/>
      <c r="E35" s="35"/>
      <c r="F35" s="35"/>
    </row>
    <row r="36" spans="1:7">
      <c r="A36" s="37">
        <f>IF(ISNUMBER(D36),MAX(A$8:A35)+1,"")</f>
        <v>13</v>
      </c>
      <c r="B36" s="39" t="s">
        <v>84</v>
      </c>
      <c r="C36" s="40" t="s">
        <v>66</v>
      </c>
      <c r="D36" s="280">
        <f>'System Load-Exh. XII'!S25</f>
        <v>730.56210194166681</v>
      </c>
      <c r="E36" s="45"/>
      <c r="F36" s="35"/>
    </row>
    <row r="37" spans="1:7">
      <c r="A37" s="37" t="str">
        <f>IF(ISNUMBER(D37),MAX(A$8:A36)+1,"")</f>
        <v/>
      </c>
      <c r="B37" s="50"/>
      <c r="C37" s="40"/>
      <c r="D37" s="35"/>
      <c r="E37" s="35"/>
      <c r="F37" s="46"/>
    </row>
    <row r="38" spans="1:7">
      <c r="A38" s="37" t="str">
        <f>IF(ISNUMBER(D38),MAX(A$8:A37)+1,"")</f>
        <v/>
      </c>
      <c r="B38" s="69" t="s">
        <v>85</v>
      </c>
      <c r="C38" s="40"/>
      <c r="D38" s="35"/>
      <c r="E38" s="35"/>
      <c r="F38" s="46"/>
    </row>
    <row r="39" spans="1:7">
      <c r="A39" s="37">
        <f>IF(ISNUMBER(D39),MAX(A$8:A38)+1,"")</f>
        <v>14</v>
      </c>
      <c r="B39" s="279" t="s">
        <v>73</v>
      </c>
      <c r="C39" s="47" t="s">
        <v>96</v>
      </c>
      <c r="D39" s="48">
        <f>D33/(D36*1000)/52</f>
        <v>0.96783150468918244</v>
      </c>
      <c r="E39" s="191">
        <f>ROUND(D39*(1+'Taxes-Other-Exh. IX'!D44),2)</f>
        <v>1.01</v>
      </c>
      <c r="F39" s="35" t="str">
        <f>"Line "&amp;A33&amp;" ÷ (Line "&amp;A36&amp;" *1000) ÷ 52"</f>
        <v>Line 12 ÷ (Line 13 *1000) ÷ 52</v>
      </c>
    </row>
    <row r="40" spans="1:7">
      <c r="A40" s="37" t="str">
        <f>IF(ISNUMBER(D40),MAX(A$8:A39)+1,"")</f>
        <v/>
      </c>
      <c r="B40" s="39"/>
      <c r="C40" s="40"/>
      <c r="D40" s="35"/>
      <c r="E40" s="35"/>
      <c r="F40" s="46"/>
    </row>
    <row r="41" spans="1:7">
      <c r="A41" s="37" t="str">
        <f>IF(ISNUMBER(D41),MAX(A$8:A40)+1,"")</f>
        <v/>
      </c>
      <c r="B41" s="69" t="s">
        <v>97</v>
      </c>
      <c r="C41" s="40"/>
      <c r="D41" s="35"/>
      <c r="E41" s="35"/>
      <c r="F41" s="46"/>
    </row>
    <row r="42" spans="1:7">
      <c r="A42" s="37">
        <f>IF(ISNUMBER(D42),MAX(A$8:A41)+1,"")</f>
        <v>15</v>
      </c>
      <c r="B42" s="39" t="s">
        <v>98</v>
      </c>
      <c r="C42" s="40" t="s">
        <v>76</v>
      </c>
      <c r="D42" s="48">
        <f>D39/5</f>
        <v>0.1935663009378365</v>
      </c>
      <c r="E42" s="191">
        <f>ROUND(D42*(1+'Taxes-Other-Exh. IX'!D44),2)</f>
        <v>0.2</v>
      </c>
      <c r="F42" s="35" t="str">
        <f>"Line "&amp;$A$39&amp;" ÷ 5 days"</f>
        <v>Line 14 ÷ 5 days</v>
      </c>
    </row>
    <row r="43" spans="1:7">
      <c r="A43" s="37">
        <f>IF(ISNUMBER(D43),MAX(A$8:A42)+1,"")</f>
        <v>16</v>
      </c>
      <c r="B43" s="39" t="s">
        <v>99</v>
      </c>
      <c r="C43" s="40" t="s">
        <v>76</v>
      </c>
      <c r="D43" s="48">
        <f>D39/7</f>
        <v>0.13826164352702605</v>
      </c>
      <c r="E43" s="191">
        <f>ROUND(D43*(1+'Taxes-Other-Exh. IX'!D44),5)</f>
        <v>0.14362</v>
      </c>
      <c r="F43" s="35" t="str">
        <f>"Line "&amp;$A$39&amp;" ÷ 7 days"</f>
        <v>Line 14 ÷ 7 days</v>
      </c>
    </row>
    <row r="44" spans="1:7">
      <c r="A44" s="37" t="str">
        <f>IF(ISNUMBER(D44),MAX(A$8:A43)+1,"")</f>
        <v/>
      </c>
      <c r="B44" s="35"/>
      <c r="C44" s="35"/>
      <c r="D44" s="35"/>
      <c r="E44" s="35"/>
      <c r="F44" s="35"/>
    </row>
    <row r="45" spans="1:7">
      <c r="A45" s="37" t="str">
        <f>IF(ISNUMBER(D45),MAX(A$8:A44)+1,"")</f>
        <v/>
      </c>
      <c r="B45" s="69" t="s">
        <v>100</v>
      </c>
      <c r="C45" s="35"/>
      <c r="D45" s="35"/>
      <c r="E45" s="35"/>
      <c r="F45" s="35"/>
    </row>
    <row r="46" spans="1:7">
      <c r="A46" s="37">
        <f>IF(ISNUMBER(D46),MAX(A$8:A45)+1,"")</f>
        <v>17</v>
      </c>
      <c r="B46" s="279" t="s">
        <v>101</v>
      </c>
      <c r="C46" s="281" t="s">
        <v>78</v>
      </c>
      <c r="D46" s="282">
        <f>D42/16</f>
        <v>1.2097893808614781E-2</v>
      </c>
      <c r="E46" s="278">
        <f>ROUND(D46*(1+'Taxes-Other-Exh. IX'!D44),5)</f>
        <v>1.257E-2</v>
      </c>
      <c r="F46" s="35" t="str">
        <f>"Line "&amp;$A$42&amp;" ÷ 16 hours"</f>
        <v>Line 15 ÷ 16 hours</v>
      </c>
    </row>
    <row r="47" spans="1:7">
      <c r="A47" s="37">
        <f>IF(ISNUMBER(D47),MAX(A$8:A46)+1,"")</f>
        <v>18</v>
      </c>
      <c r="B47" s="279" t="s">
        <v>102</v>
      </c>
      <c r="C47" s="281" t="s">
        <v>78</v>
      </c>
      <c r="D47" s="282">
        <f>D43/24</f>
        <v>5.7609018136260855E-3</v>
      </c>
      <c r="E47" s="278">
        <f>ROUND(D47*(1+'Taxes-Other-Exh. IX'!D44),5)</f>
        <v>5.9800000000000001E-3</v>
      </c>
      <c r="F47" s="35" t="str">
        <f>"Line "&amp;$A$43&amp;" ÷ 24 hours"</f>
        <v>Line 16 ÷ 24 hours</v>
      </c>
      <c r="G47" s="1" t="s">
        <v>86</v>
      </c>
    </row>
    <row r="48" spans="1:7">
      <c r="A48" s="35"/>
      <c r="B48" s="35"/>
      <c r="C48" s="35"/>
      <c r="D48" s="35"/>
      <c r="E48" s="35"/>
      <c r="F48" s="35"/>
    </row>
    <row r="49" spans="1:6">
      <c r="A49" s="196" t="s">
        <v>87</v>
      </c>
      <c r="B49" s="39" t="s">
        <v>88</v>
      </c>
      <c r="C49"/>
      <c r="D49"/>
      <c r="E49"/>
      <c r="F49"/>
    </row>
    <row r="50" spans="1:6">
      <c r="B50" s="39" t="s">
        <v>89</v>
      </c>
      <c r="C50"/>
      <c r="D50"/>
      <c r="E50"/>
      <c r="F50"/>
    </row>
    <row r="51" spans="1:6">
      <c r="B51" s="39" t="s">
        <v>90</v>
      </c>
      <c r="C51"/>
      <c r="D51"/>
      <c r="E51"/>
      <c r="F51"/>
    </row>
    <row r="52" spans="1:6">
      <c r="B52" s="39" t="s">
        <v>91</v>
      </c>
      <c r="C52"/>
      <c r="D52"/>
      <c r="E52"/>
      <c r="F52"/>
    </row>
    <row r="53" spans="1:6">
      <c r="B53" s="39" t="s">
        <v>92</v>
      </c>
      <c r="C53"/>
      <c r="D53"/>
      <c r="E53"/>
      <c r="F53"/>
    </row>
    <row r="54" spans="1:6">
      <c r="B54"/>
      <c r="C54"/>
      <c r="D54"/>
      <c r="E54"/>
      <c r="F54"/>
    </row>
    <row r="55" spans="1:6">
      <c r="B55"/>
      <c r="C55"/>
      <c r="D55"/>
      <c r="E55"/>
      <c r="F55"/>
    </row>
    <row r="56" spans="1:6">
      <c r="B56"/>
      <c r="C56"/>
      <c r="D56"/>
      <c r="E56"/>
      <c r="F56"/>
    </row>
    <row r="57" spans="1:6">
      <c r="B57"/>
      <c r="C57"/>
      <c r="D57"/>
      <c r="E57"/>
      <c r="F57"/>
    </row>
    <row r="58" spans="1:6">
      <c r="B58"/>
      <c r="C58"/>
      <c r="D58"/>
      <c r="E58"/>
      <c r="F58"/>
    </row>
    <row r="59" spans="1:6">
      <c r="B59"/>
      <c r="C59"/>
      <c r="D59"/>
      <c r="E59"/>
      <c r="F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67"/>
  <sheetViews>
    <sheetView topLeftCell="A17" workbookViewId="0">
      <selection activeCell="D36" sqref="D36"/>
    </sheetView>
  </sheetViews>
  <sheetFormatPr defaultColWidth="8.88671875" defaultRowHeight="18.75"/>
  <cols>
    <col min="1" max="1" width="8.88671875" style="11"/>
    <col min="2" max="2" width="48.44140625" style="11" customWidth="1"/>
    <col min="3" max="3" width="14.5546875" style="11" bestFit="1" customWidth="1"/>
    <col min="4" max="4" width="13.88671875" style="11" customWidth="1"/>
    <col min="5" max="5" width="14.5546875" style="11" bestFit="1" customWidth="1"/>
    <col min="6" max="7" width="12.77734375" style="11" customWidth="1"/>
    <col min="8" max="8" width="14.5546875" style="11" bestFit="1" customWidth="1"/>
    <col min="9" max="9" width="12.33203125" style="11" bestFit="1" customWidth="1"/>
    <col min="10" max="10" width="13.6640625" style="11" bestFit="1" customWidth="1"/>
    <col min="11" max="11" width="10.109375" style="11" bestFit="1" customWidth="1"/>
    <col min="12" max="16384" width="8.88671875" style="11"/>
  </cols>
  <sheetData>
    <row r="2" spans="1:5">
      <c r="A2" s="105" t="str">
        <f>'Cost of Service Factors-Exh. I'!A1</f>
        <v>Grant County Public Utility District</v>
      </c>
      <c r="B2" s="104"/>
      <c r="C2" s="104"/>
      <c r="D2" s="104"/>
      <c r="E2" s="104"/>
    </row>
    <row r="3" spans="1:5">
      <c r="A3" s="121" t="s">
        <v>103</v>
      </c>
      <c r="B3" s="104"/>
      <c r="C3" s="104"/>
      <c r="D3" s="104"/>
      <c r="E3" s="104"/>
    </row>
    <row r="4" spans="1:5">
      <c r="C4" s="28"/>
      <c r="D4" s="122" t="s">
        <v>104</v>
      </c>
      <c r="E4" s="122"/>
    </row>
    <row r="5" spans="1:5">
      <c r="A5" s="28" t="s">
        <v>45</v>
      </c>
      <c r="B5" s="28"/>
      <c r="C5" s="28" t="s">
        <v>105</v>
      </c>
      <c r="D5" s="28" t="s">
        <v>106</v>
      </c>
      <c r="E5" s="28" t="s">
        <v>107</v>
      </c>
    </row>
    <row r="6" spans="1:5">
      <c r="A6" s="29" t="s">
        <v>47</v>
      </c>
      <c r="B6" s="33" t="s">
        <v>48</v>
      </c>
      <c r="C6" s="29" t="s">
        <v>108</v>
      </c>
      <c r="D6" s="29" t="s">
        <v>109</v>
      </c>
      <c r="E6" s="29" t="s">
        <v>109</v>
      </c>
    </row>
    <row r="7" spans="1:5">
      <c r="C7" s="123" t="s">
        <v>110</v>
      </c>
      <c r="D7" s="28">
        <v>-2</v>
      </c>
      <c r="E7" s="28">
        <v>-3</v>
      </c>
    </row>
    <row r="8" spans="1:5">
      <c r="C8" s="28" t="s">
        <v>3</v>
      </c>
      <c r="D8" s="28" t="s">
        <v>3</v>
      </c>
      <c r="E8" s="28" t="s">
        <v>3</v>
      </c>
    </row>
    <row r="9" spans="1:5">
      <c r="A9" s="37" t="str">
        <f>IF(ISNUMBER(D9),MAX(A$8:A8)+1,"")</f>
        <v/>
      </c>
      <c r="B9" s="32" t="s">
        <v>111</v>
      </c>
    </row>
    <row r="10" spans="1:5">
      <c r="A10" s="37">
        <f>IF(ISNUMBER(D10),MAX(A$8:A9)+1,"")</f>
        <v>1</v>
      </c>
      <c r="B10" s="30" t="s">
        <v>112</v>
      </c>
      <c r="C10" s="11">
        <f>'O&amp;M Expenses-Exh. IV'!I46</f>
        <v>6097745.6999999993</v>
      </c>
      <c r="D10" s="11">
        <f>C10</f>
        <v>6097745.6999999993</v>
      </c>
    </row>
    <row r="11" spans="1:5">
      <c r="A11" s="37">
        <f>IF(ISNUMBER(D11),MAX(A$8:A10)+1,"")</f>
        <v>2</v>
      </c>
      <c r="B11" s="30" t="s">
        <v>113</v>
      </c>
      <c r="C11" s="11">
        <f>'O&amp;M Expenses-Exh. IV'!J64</f>
        <v>13561222.210000003</v>
      </c>
      <c r="D11" s="11">
        <v>0</v>
      </c>
      <c r="E11" s="11">
        <f>C11</f>
        <v>13561222.210000003</v>
      </c>
    </row>
    <row r="12" spans="1:5">
      <c r="A12" s="37">
        <f>IF(ISNUMBER(D12),MAX(A$8:A11)+1,"")</f>
        <v>3</v>
      </c>
      <c r="B12" s="30" t="s">
        <v>114</v>
      </c>
      <c r="C12" s="11">
        <f>'O&amp;M Expenses-Exh. IV'!G115-'O&amp;M Expenses-Exh. IV'!G104</f>
        <v>30538164.170000006</v>
      </c>
      <c r="D12" s="11">
        <f>ROUND(C12*C51,0)</f>
        <v>4520798</v>
      </c>
      <c r="E12" s="11">
        <f>ROUND(C12*C52,0)</f>
        <v>6921123</v>
      </c>
    </row>
    <row r="13" spans="1:5">
      <c r="A13" s="37">
        <f>IF(ISNUMBER(D13),MAX(A$8:A12)+1,"")</f>
        <v>4</v>
      </c>
      <c r="B13" s="30" t="s">
        <v>115</v>
      </c>
      <c r="C13" s="19">
        <f>'O&amp;M Expenses-Exh. IV'!G104</f>
        <v>1076543.73</v>
      </c>
      <c r="D13" s="19">
        <f>ROUND(C13*E64,0)</f>
        <v>67499</v>
      </c>
      <c r="E13" s="19">
        <f>ROUND(C13*E65,0)</f>
        <v>189795</v>
      </c>
    </row>
    <row r="14" spans="1:5">
      <c r="B14" s="30"/>
    </row>
    <row r="15" spans="1:5">
      <c r="A15" s="37">
        <f>IF(ISNUMBER(D15),MAX(A$8:A14)+1,"")</f>
        <v>5</v>
      </c>
      <c r="B15" s="11" t="s">
        <v>116</v>
      </c>
      <c r="C15" s="11">
        <f>SUM(C10:C13)</f>
        <v>51273675.81000001</v>
      </c>
      <c r="D15" s="11">
        <f>SUM(D10:D13)</f>
        <v>10686042.699999999</v>
      </c>
      <c r="E15" s="11">
        <f>SUM(E10:E13)</f>
        <v>20672140.210000001</v>
      </c>
    </row>
    <row r="17" spans="1:11">
      <c r="B17" s="32" t="s">
        <v>117</v>
      </c>
    </row>
    <row r="18" spans="1:11">
      <c r="A18" s="37">
        <f>IF(ISNUMBER(D18),MAX(A$8:A17)+1,"")</f>
        <v>6</v>
      </c>
      <c r="B18" s="30" t="s">
        <v>118</v>
      </c>
      <c r="C18" s="11">
        <f>ROUND('Gross Plant In Service-Exh. V'!E48/'Gross Plant In Service-Exh. V'!G92*'Cost of Service-Exh. II'!D44,0)</f>
        <v>4379064</v>
      </c>
      <c r="D18" s="11">
        <f>C18</f>
        <v>4379064</v>
      </c>
      <c r="G18" s="245" t="s">
        <v>119</v>
      </c>
      <c r="H18" s="64"/>
      <c r="I18" s="64"/>
      <c r="J18" s="64"/>
      <c r="K18" s="246"/>
    </row>
    <row r="19" spans="1:11">
      <c r="A19" s="37">
        <f>IF(ISNUMBER(D19),MAX(A$8:A18)+1,"")</f>
        <v>7</v>
      </c>
      <c r="B19" s="30" t="s">
        <v>120</v>
      </c>
      <c r="C19" s="11">
        <f>ROUND('Gross Plant In Service-Exh. V'!E80/'Gross Plant In Service-Exh. V'!E92*'Cost of Service-Exh. II'!C44,0)</f>
        <v>5311826</v>
      </c>
      <c r="D19" s="11">
        <f>ROUND(C19*C51,0)</f>
        <v>786350</v>
      </c>
      <c r="E19" s="11">
        <f>ROUND(C19*C52,0)</f>
        <v>1203864</v>
      </c>
      <c r="G19" s="247"/>
      <c r="K19" s="248"/>
    </row>
    <row r="20" spans="1:11">
      <c r="A20" s="37">
        <f>IF(ISNUMBER(D20),MAX(A$8:A19)+1,"")</f>
        <v>8</v>
      </c>
      <c r="B20" s="30" t="s">
        <v>121</v>
      </c>
      <c r="C20" s="11">
        <v>8849329</v>
      </c>
      <c r="D20" s="11">
        <f>ROUND('Gross Plant In Service-Exh. V'!G18*'Cost of Service-Exh. II'!I23,0)</f>
        <v>136300</v>
      </c>
      <c r="E20" s="11">
        <f>ROUND('Gross Plant In Service-Exh. V'!H18*'Cost of Service-Exh. II'!I23,0)</f>
        <v>208669</v>
      </c>
      <c r="G20" s="247" t="s">
        <v>122</v>
      </c>
      <c r="I20" s="11">
        <f>C20</f>
        <v>8849329</v>
      </c>
      <c r="K20" s="248"/>
    </row>
    <row r="21" spans="1:11">
      <c r="A21" s="37">
        <f>IF(ISNUMBER(D21),MAX(A$8:A20)+1,"")</f>
        <v>9</v>
      </c>
      <c r="B21" s="30" t="s">
        <v>113</v>
      </c>
      <c r="C21" s="19">
        <v>19942592</v>
      </c>
      <c r="D21" s="19">
        <v>0</v>
      </c>
      <c r="E21" s="19">
        <f>C21</f>
        <v>19942592</v>
      </c>
      <c r="G21" s="247" t="s">
        <v>123</v>
      </c>
      <c r="I21" s="19">
        <f>'Gross Plant In Service-Exh. V'!E18</f>
        <v>198567970.25999999</v>
      </c>
      <c r="K21" s="248"/>
    </row>
    <row r="22" spans="1:11">
      <c r="G22" s="247"/>
      <c r="K22" s="248"/>
    </row>
    <row r="23" spans="1:11" ht="19.5" thickBot="1">
      <c r="A23" s="37">
        <f>IF(ISNUMBER(D23),MAX(A$8:A22)+1,"")</f>
        <v>10</v>
      </c>
      <c r="B23" s="11" t="s">
        <v>124</v>
      </c>
      <c r="C23" s="11">
        <f>SUM(C18:C21)</f>
        <v>38482811</v>
      </c>
      <c r="D23" s="11">
        <f t="shared" ref="D23:E23" si="0">SUM(D18:D21)</f>
        <v>5301714</v>
      </c>
      <c r="E23" s="11">
        <f t="shared" si="0"/>
        <v>21355125</v>
      </c>
      <c r="G23" s="247" t="s">
        <v>125</v>
      </c>
      <c r="I23" s="221">
        <f>ROUND(I20/I21,4)</f>
        <v>4.4600000000000001E-2</v>
      </c>
      <c r="J23" s="11">
        <f>ROUND('Gross Plant In Service-Exh. V'!G18*'Cost of Service-Exh. II'!I23,0)</f>
        <v>136300</v>
      </c>
      <c r="K23" s="248">
        <f>ROUND('Gross Plant In Service-Exh. V'!H18*'Cost of Service-Exh. II'!I23,0)</f>
        <v>208669</v>
      </c>
    </row>
    <row r="24" spans="1:11" ht="19.5" thickTop="1">
      <c r="G24" s="249"/>
      <c r="H24" s="19"/>
      <c r="I24" s="19"/>
      <c r="J24" s="19"/>
      <c r="K24" s="250"/>
    </row>
    <row r="25" spans="1:11">
      <c r="B25" s="32" t="s">
        <v>126</v>
      </c>
    </row>
    <row r="26" spans="1:11">
      <c r="A26" s="37">
        <f>IF(ISNUMBER(D26),MAX(A$8:A25)+1,"")</f>
        <v>11</v>
      </c>
      <c r="B26" s="30" t="s">
        <v>127</v>
      </c>
      <c r="C26" s="11">
        <v>0</v>
      </c>
      <c r="D26" s="11">
        <v>0</v>
      </c>
      <c r="E26" s="11">
        <v>0</v>
      </c>
    </row>
    <row r="27" spans="1:11">
      <c r="A27" s="37">
        <f>IF(ISNUMBER(D27),MAX(A$8:A26)+1,"")</f>
        <v>12</v>
      </c>
      <c r="B27" s="30" t="s">
        <v>128</v>
      </c>
      <c r="C27" s="11">
        <v>0</v>
      </c>
      <c r="D27" s="11">
        <v>0</v>
      </c>
      <c r="E27" s="11">
        <v>0</v>
      </c>
    </row>
    <row r="28" spans="1:11">
      <c r="A28" s="37">
        <f>IF(ISNUMBER(D28),MAX(A$8:A27)+1,"")</f>
        <v>13</v>
      </c>
      <c r="B28" s="30" t="s">
        <v>129</v>
      </c>
      <c r="C28" s="19">
        <v>0</v>
      </c>
      <c r="D28" s="19">
        <v>0</v>
      </c>
      <c r="E28" s="19">
        <v>0</v>
      </c>
    </row>
    <row r="30" spans="1:11">
      <c r="A30" s="37">
        <f>IF(ISNUMBER(D30),MAX(A$8:A29)+1,"")</f>
        <v>14</v>
      </c>
      <c r="B30" s="11" t="s">
        <v>130</v>
      </c>
      <c r="C30" s="11">
        <f>SUM(C26:C28)</f>
        <v>0</v>
      </c>
      <c r="D30" s="11">
        <f>SUM(D26:D28)</f>
        <v>0</v>
      </c>
      <c r="E30" s="11">
        <f>SUM(E26:E28)</f>
        <v>0</v>
      </c>
    </row>
    <row r="32" spans="1:11">
      <c r="A32" s="37">
        <f>IF(ISNUMBER(D32),MAX(A$8:A31)+1,"")</f>
        <v>15</v>
      </c>
      <c r="B32" s="11" t="s">
        <v>131</v>
      </c>
      <c r="C32" s="11">
        <f>'NPIS &amp; Rate Base-Exh. VII'!E92</f>
        <v>92518181</v>
      </c>
      <c r="D32" s="11">
        <f>'NPIS &amp; Rate Base-Exh. VII'!G92</f>
        <v>5915147</v>
      </c>
      <c r="E32" s="11">
        <f>'NPIS &amp; Rate Base-Exh. VII'!H92</f>
        <v>16412850</v>
      </c>
    </row>
    <row r="34" spans="1:5">
      <c r="B34" s="32" t="s">
        <v>132</v>
      </c>
    </row>
    <row r="35" spans="1:5">
      <c r="A35" s="37">
        <f>IF(ISNUMBER(D35),MAX(A$8:A34)+1,"")</f>
        <v>16</v>
      </c>
      <c r="B35" s="6" t="s">
        <v>133</v>
      </c>
      <c r="C35" s="11">
        <v>0</v>
      </c>
      <c r="D35" s="11">
        <v>0</v>
      </c>
      <c r="E35" s="11">
        <v>0</v>
      </c>
    </row>
    <row r="36" spans="1:5">
      <c r="A36" s="37">
        <f>IF(ISNUMBER(D36),MAX(A$8:A35)+1,"")</f>
        <v>17</v>
      </c>
      <c r="B36" s="6" t="s">
        <v>106</v>
      </c>
      <c r="C36" s="11">
        <f>-'Revenue Credits-Exh. XI'!M24</f>
        <v>-414996</v>
      </c>
      <c r="D36" s="11">
        <f>-'Revenue Credits-Exh. XI'!H24</f>
        <v>-414996</v>
      </c>
      <c r="E36" s="11">
        <v>0</v>
      </c>
    </row>
    <row r="37" spans="1:5">
      <c r="A37" s="37">
        <f>IF(ISNUMBER(D37),MAX(A$8:A36)+1,"")</f>
        <v>18</v>
      </c>
      <c r="B37" s="6" t="s">
        <v>107</v>
      </c>
      <c r="C37" s="19">
        <f>-'Revenue Credits-Exh. XI'!M16</f>
        <v>-4383497.0600000005</v>
      </c>
      <c r="D37" s="19">
        <v>0</v>
      </c>
      <c r="E37" s="19">
        <f>-'Revenue Credits-Exh. XI'!I16</f>
        <v>-4383497.0600000005</v>
      </c>
    </row>
    <row r="39" spans="1:5">
      <c r="A39" s="37">
        <f>IF(ISNUMBER(D39),MAX(A$8:A38)+1,"")</f>
        <v>19</v>
      </c>
      <c r="B39" s="11" t="s">
        <v>134</v>
      </c>
      <c r="C39" s="19">
        <f>SUM(C35:C37)</f>
        <v>-4798493.0600000005</v>
      </c>
      <c r="D39" s="19">
        <f>SUM(D35:D37)</f>
        <v>-414996</v>
      </c>
      <c r="E39" s="19">
        <f>SUM(E35:E37)</f>
        <v>-4383497.0600000005</v>
      </c>
    </row>
    <row r="41" spans="1:5" ht="19.5" thickBot="1">
      <c r="A41" s="37">
        <f>IF(ISNUMBER(D41),MAX(A$8:A40)+1,"")</f>
        <v>20</v>
      </c>
      <c r="B41" s="11" t="s">
        <v>135</v>
      </c>
      <c r="C41" s="27">
        <f>C15+C23+C30+C32+C39</f>
        <v>177476174.75</v>
      </c>
      <c r="D41" s="27">
        <f>D15+D23+D30+D32+D39</f>
        <v>21487907.699999999</v>
      </c>
      <c r="E41" s="27">
        <f>E15+E23+E30+E32+E39</f>
        <v>54056618.149999999</v>
      </c>
    </row>
    <row r="42" spans="1:5" ht="19.5" thickTop="1">
      <c r="A42" s="37"/>
    </row>
    <row r="43" spans="1:5">
      <c r="A43" s="37"/>
      <c r="C43" s="29" t="s">
        <v>136</v>
      </c>
      <c r="D43" s="29" t="s">
        <v>106</v>
      </c>
      <c r="E43"/>
    </row>
    <row r="44" spans="1:5" ht="19.5" thickBot="1">
      <c r="A44" s="37"/>
      <c r="B44" s="30" t="s">
        <v>137</v>
      </c>
      <c r="C44" s="27">
        <v>16521951</v>
      </c>
      <c r="D44" s="27">
        <v>5866724</v>
      </c>
    </row>
    <row r="45" spans="1:5" ht="19.5" thickTop="1">
      <c r="A45" s="37"/>
      <c r="B45" s="30"/>
    </row>
    <row r="46" spans="1:5" ht="19.5" thickBot="1">
      <c r="B46" s="30" t="s">
        <v>138</v>
      </c>
      <c r="C46" s="27">
        <f>C19</f>
        <v>5311826</v>
      </c>
      <c r="D46" s="27">
        <f>C18</f>
        <v>4379064</v>
      </c>
    </row>
    <row r="47" spans="1:5" ht="19.5" thickTop="1">
      <c r="B47" s="30"/>
    </row>
    <row r="48" spans="1:5">
      <c r="A48" s="30" t="s">
        <v>139</v>
      </c>
      <c r="B48" s="71" t="s">
        <v>140</v>
      </c>
      <c r="C48" s="171"/>
      <c r="D48"/>
      <c r="E48"/>
    </row>
    <row r="49" spans="1:5" ht="19.5" thickBot="1">
      <c r="B49" s="71"/>
      <c r="C49" s="5" t="s">
        <v>141</v>
      </c>
      <c r="D49"/>
      <c r="E49"/>
    </row>
    <row r="50" spans="1:5">
      <c r="B50" s="6" t="s">
        <v>142</v>
      </c>
      <c r="C50" s="114">
        <f>'Allocation Factors-Exh. III'!J34</f>
        <v>0.51302686091922756</v>
      </c>
      <c r="D50" s="1"/>
      <c r="E50"/>
    </row>
    <row r="51" spans="1:5">
      <c r="B51" s="6" t="s">
        <v>143</v>
      </c>
      <c r="C51" s="114">
        <f>'Allocation Factors-Exh. III'!J35</f>
        <v>0.14803764489174498</v>
      </c>
      <c r="D51" s="1" t="s">
        <v>144</v>
      </c>
      <c r="E51"/>
    </row>
    <row r="52" spans="1:5">
      <c r="B52" s="6" t="s">
        <v>145</v>
      </c>
      <c r="C52" s="114">
        <f>'Allocation Factors-Exh. III'!J36</f>
        <v>0.22663847043140981</v>
      </c>
      <c r="D52" s="1" t="s">
        <v>146</v>
      </c>
      <c r="E52"/>
    </row>
    <row r="53" spans="1:5">
      <c r="B53" s="6" t="s">
        <v>147</v>
      </c>
      <c r="C53" s="116">
        <f>'Allocation Factors-Exh. III'!J37</f>
        <v>0.11229702375761763</v>
      </c>
      <c r="D53" s="1"/>
      <c r="E53" t="s">
        <v>148</v>
      </c>
    </row>
    <row r="54" spans="1:5">
      <c r="B54" s="8" t="s">
        <v>149</v>
      </c>
      <c r="C54" s="9">
        <f>SUM(C50:C53)</f>
        <v>1</v>
      </c>
      <c r="D54" s="10">
        <f>C50+C53</f>
        <v>0.62532388467684519</v>
      </c>
      <c r="E54" s="172" t="s">
        <v>150</v>
      </c>
    </row>
    <row r="55" spans="1:5">
      <c r="B55" s="11" t="s">
        <v>151</v>
      </c>
      <c r="D55" s="1"/>
    </row>
    <row r="56" spans="1:5" ht="19.5" thickBot="1">
      <c r="A56" s="30" t="s">
        <v>152</v>
      </c>
      <c r="B56" s="70" t="s">
        <v>153</v>
      </c>
      <c r="C56" s="27">
        <f>'Gross Plant In Service-Exh. V'!E82</f>
        <v>2848134078.6399999</v>
      </c>
    </row>
    <row r="57" spans="1:5" ht="19.5" thickTop="1">
      <c r="B57" s="11" t="s">
        <v>154</v>
      </c>
      <c r="D57" s="11">
        <f>'Gross Plant In Service-Exh. V'!F82</f>
        <v>1976969748.3699999</v>
      </c>
      <c r="E57" s="124">
        <f>ROUND(D57/C56,4)</f>
        <v>0.69410000000000005</v>
      </c>
    </row>
    <row r="58" spans="1:5">
      <c r="B58" s="11" t="s">
        <v>155</v>
      </c>
      <c r="D58" s="11">
        <f>'Gross Plant In Service-Exh. V'!G82</f>
        <v>217789393.66999999</v>
      </c>
      <c r="E58" s="124">
        <f>ROUND(D58/C56,4)</f>
        <v>7.6499999999999999E-2</v>
      </c>
    </row>
    <row r="59" spans="1:5">
      <c r="B59" s="11" t="s">
        <v>156</v>
      </c>
      <c r="D59" s="19">
        <f>'Gross Plant In Service-Exh. V'!H82</f>
        <v>653374934.01999998</v>
      </c>
      <c r="E59" s="120">
        <f>ROUND(D59/C56,4)</f>
        <v>0.22939999999999999</v>
      </c>
    </row>
    <row r="60" spans="1:5">
      <c r="B60" s="11" t="s">
        <v>157</v>
      </c>
      <c r="D60" s="11">
        <f>SUM(D57:D59)</f>
        <v>2848134076.0599999</v>
      </c>
      <c r="E60" s="124">
        <f>SUM(E57:E59)</f>
        <v>1</v>
      </c>
    </row>
    <row r="61" spans="1:5">
      <c r="B61" s="11" t="s">
        <v>158</v>
      </c>
    </row>
    <row r="62" spans="1:5" ht="19.5" thickBot="1">
      <c r="A62" s="11" t="s">
        <v>159</v>
      </c>
      <c r="B62" s="70" t="s">
        <v>160</v>
      </c>
      <c r="C62" s="27">
        <f>'NPIS &amp; Rate Base-Exh. VII'!E82</f>
        <v>1862151546.6799994</v>
      </c>
    </row>
    <row r="63" spans="1:5" ht="19.5" thickTop="1">
      <c r="B63" s="11" t="s">
        <v>161</v>
      </c>
      <c r="D63" s="11">
        <f>'NPIS &amp; Rate Base-Exh. VII'!F82</f>
        <v>1417124045.3299999</v>
      </c>
      <c r="E63" s="124">
        <f>ROUND(D63/C62,4)</f>
        <v>0.76100000000000001</v>
      </c>
    </row>
    <row r="64" spans="1:5">
      <c r="B64" s="11" t="s">
        <v>162</v>
      </c>
      <c r="D64" s="11">
        <f>'NPIS &amp; Rate Base-Exh. VII'!G82</f>
        <v>116708213.12999997</v>
      </c>
      <c r="E64" s="124">
        <f>ROUND(D64/C62,4)</f>
        <v>6.2700000000000006E-2</v>
      </c>
    </row>
    <row r="65" spans="2:5">
      <c r="B65" s="11" t="s">
        <v>163</v>
      </c>
      <c r="D65" s="19">
        <f>'NPIS &amp; Rate Base-Exh. VII'!H82</f>
        <v>328319288.80999976</v>
      </c>
      <c r="E65" s="120">
        <f>ROUND(D65/C62,4)</f>
        <v>0.17630000000000001</v>
      </c>
    </row>
    <row r="66" spans="2:5">
      <c r="B66" s="11" t="s">
        <v>164</v>
      </c>
      <c r="D66" s="11">
        <f>SUM(D63:D65)</f>
        <v>1862151547.2699995</v>
      </c>
      <c r="E66" s="124">
        <f>SUM(E63:E65)</f>
        <v>1</v>
      </c>
    </row>
    <row r="67" spans="2:5">
      <c r="B67" s="11" t="s">
        <v>165</v>
      </c>
    </row>
  </sheetData>
  <pageMargins left="1" right="0" top="0" bottom="0" header="0" footer="0"/>
  <pageSetup scale="65" orientation="portrait" r:id="rId1"/>
  <headerFooter>
    <oddHeader>&amp;RExhibit II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7946A-7920-48AC-B298-E07AFCA5C896}">
  <dimension ref="A1:N46"/>
  <sheetViews>
    <sheetView workbookViewId="0">
      <selection activeCell="K30" sqref="K30"/>
    </sheetView>
  </sheetViews>
  <sheetFormatPr defaultColWidth="7.109375" defaultRowHeight="18.75"/>
  <cols>
    <col min="1" max="1" width="7.21875" style="73" bestFit="1" customWidth="1"/>
    <col min="2" max="2" width="1.33203125" style="73" customWidth="1"/>
    <col min="3" max="3" width="59.5546875" style="73" customWidth="1"/>
    <col min="4" max="4" width="2.109375" style="73" customWidth="1"/>
    <col min="5" max="5" width="21.33203125" style="73" customWidth="1"/>
    <col min="6" max="6" width="8.6640625" style="73" bestFit="1" customWidth="1"/>
    <col min="7" max="7" width="11" style="73" bestFit="1" customWidth="1"/>
    <col min="8" max="8" width="13.109375" style="73" bestFit="1" customWidth="1"/>
    <col min="9" max="9" width="5.88671875" style="73" bestFit="1" customWidth="1"/>
    <col min="10" max="10" width="14.6640625" style="73" bestFit="1" customWidth="1"/>
    <col min="11" max="11" width="9.77734375" style="153" bestFit="1" customWidth="1"/>
    <col min="12" max="12" width="18.6640625" style="73" bestFit="1" customWidth="1"/>
    <col min="13" max="13" width="1.33203125" style="73" customWidth="1"/>
    <col min="14" max="14" width="3.77734375" style="73" bestFit="1" customWidth="1"/>
    <col min="15" max="15" width="12.88671875" style="73" bestFit="1" customWidth="1"/>
    <col min="16" max="16" width="25.33203125" style="73" bestFit="1" customWidth="1"/>
    <col min="17" max="17" width="9.77734375" style="73" bestFit="1" customWidth="1"/>
    <col min="18" max="16384" width="7.109375" style="73"/>
  </cols>
  <sheetData>
    <row r="1" spans="1:14">
      <c r="A1" s="72"/>
      <c r="B1" s="72"/>
    </row>
    <row r="2" spans="1:14">
      <c r="A2" s="106" t="str">
        <f>'Cost of Service Factors-Exh. I'!A1</f>
        <v>Grant County Public Utility District</v>
      </c>
      <c r="B2" s="125"/>
      <c r="C2" s="170"/>
      <c r="D2" s="170"/>
      <c r="E2" s="170"/>
      <c r="F2" s="170"/>
      <c r="G2" s="170"/>
      <c r="H2" s="170"/>
      <c r="I2" s="170"/>
      <c r="J2" s="170"/>
    </row>
    <row r="3" spans="1:14">
      <c r="A3" s="126" t="s">
        <v>166</v>
      </c>
      <c r="B3" s="125"/>
      <c r="C3" s="170"/>
      <c r="D3" s="170"/>
      <c r="E3" s="170"/>
      <c r="F3" s="170"/>
      <c r="G3" s="170"/>
      <c r="H3" s="170"/>
      <c r="I3" s="170"/>
      <c r="J3" s="170"/>
    </row>
    <row r="4" spans="1:14">
      <c r="A4" s="72"/>
      <c r="B4" s="72"/>
    </row>
    <row r="5" spans="1:14">
      <c r="A5" s="72" t="s">
        <v>167</v>
      </c>
      <c r="B5" s="72"/>
    </row>
    <row r="7" spans="1:14">
      <c r="A7" s="152"/>
      <c r="B7" s="152"/>
      <c r="C7" s="72"/>
      <c r="N7" s="51"/>
    </row>
    <row r="8" spans="1:14" ht="19.5" thickBot="1">
      <c r="A8" s="51" t="s">
        <v>45</v>
      </c>
      <c r="B8" s="51"/>
      <c r="E8" s="51"/>
      <c r="G8" s="51" t="s">
        <v>149</v>
      </c>
      <c r="H8" s="162" t="s">
        <v>168</v>
      </c>
      <c r="I8" s="162"/>
      <c r="J8" s="163"/>
      <c r="K8" s="73"/>
      <c r="M8" s="51"/>
      <c r="N8" s="51"/>
    </row>
    <row r="9" spans="1:14" ht="19.5" thickBot="1">
      <c r="A9" s="142" t="s">
        <v>47</v>
      </c>
      <c r="B9" s="51"/>
      <c r="C9" s="161"/>
      <c r="E9" s="142" t="s">
        <v>169</v>
      </c>
      <c r="G9" s="142" t="s">
        <v>170</v>
      </c>
      <c r="H9" s="142" t="s">
        <v>171</v>
      </c>
      <c r="J9" s="142" t="s">
        <v>172</v>
      </c>
      <c r="K9" s="73"/>
      <c r="M9" s="51"/>
      <c r="N9" s="51"/>
    </row>
    <row r="10" spans="1:14">
      <c r="C10" s="51" t="s">
        <v>52</v>
      </c>
      <c r="E10" s="51" t="s">
        <v>53</v>
      </c>
      <c r="F10" s="51"/>
      <c r="G10" s="51" t="s">
        <v>54</v>
      </c>
      <c r="H10" s="51" t="s">
        <v>55</v>
      </c>
      <c r="J10" s="51" t="s">
        <v>56</v>
      </c>
      <c r="K10" s="73"/>
      <c r="N10" s="51"/>
    </row>
    <row r="11" spans="1:14">
      <c r="E11" s="51"/>
      <c r="K11" s="72"/>
      <c r="L11" s="51"/>
      <c r="M11" s="51"/>
    </row>
    <row r="12" spans="1:14">
      <c r="C12" s="154" t="s">
        <v>173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3"/>
      <c r="N12" s="13"/>
    </row>
    <row r="13" spans="1:14">
      <c r="A13" s="37">
        <f>IF(ISNUMBER(J13),MAX(A$11:A12)+1,"")</f>
        <v>1</v>
      </c>
      <c r="B13" s="37"/>
      <c r="C13" s="6" t="s">
        <v>174</v>
      </c>
      <c r="D13" s="156"/>
      <c r="E13" s="13" t="s">
        <v>175</v>
      </c>
      <c r="F13" s="13"/>
      <c r="G13" s="13"/>
      <c r="H13" s="13"/>
      <c r="J13" s="118">
        <f>'Gross Plant In Service-Exh. V'!G48</f>
        <v>188867007.66999999</v>
      </c>
      <c r="K13" s="73"/>
      <c r="M13" s="13"/>
      <c r="N13" s="13"/>
    </row>
    <row r="14" spans="1:14">
      <c r="A14" s="37">
        <f>IF(ISNUMBER(J14),MAX(A$11:A13)+1,"")</f>
        <v>2</v>
      </c>
      <c r="B14" s="37"/>
      <c r="C14" s="6" t="s">
        <v>176</v>
      </c>
      <c r="D14" s="156"/>
      <c r="E14" s="156" t="s">
        <v>177</v>
      </c>
      <c r="F14" s="156"/>
      <c r="G14" s="156"/>
      <c r="H14" s="156"/>
      <c r="J14" s="13">
        <v>0</v>
      </c>
      <c r="K14" s="73"/>
      <c r="M14" s="13"/>
      <c r="N14" s="13"/>
    </row>
    <row r="15" spans="1:14">
      <c r="A15" s="37">
        <f>IF(ISNUMBER(J15),MAX(A$11:A14)+1,"")</f>
        <v>3</v>
      </c>
      <c r="B15" s="37"/>
      <c r="C15" s="155" t="s">
        <v>178</v>
      </c>
      <c r="D15" s="156"/>
      <c r="E15" s="13" t="s">
        <v>179</v>
      </c>
      <c r="F15" s="13"/>
      <c r="G15" s="13"/>
      <c r="H15" s="13"/>
      <c r="J15" s="164">
        <v>0</v>
      </c>
      <c r="K15" s="73"/>
      <c r="M15" s="13"/>
      <c r="N15" s="13"/>
    </row>
    <row r="16" spans="1:14">
      <c r="A16" s="37">
        <f>IF(ISNUMBER(J16),MAX(A$11:A15)+1,"")</f>
        <v>4</v>
      </c>
      <c r="B16" s="37"/>
      <c r="C16" s="8" t="s">
        <v>180</v>
      </c>
      <c r="D16" s="156"/>
      <c r="E16" s="13" t="s">
        <v>181</v>
      </c>
      <c r="F16" s="13"/>
      <c r="G16" s="13"/>
      <c r="H16" s="13"/>
      <c r="J16" s="118">
        <f>J13-J14-J15</f>
        <v>188867007.66999999</v>
      </c>
      <c r="K16" s="73"/>
      <c r="M16" s="13"/>
      <c r="N16" s="13"/>
    </row>
    <row r="17" spans="1:14" ht="19.5" thickBot="1">
      <c r="A17" s="37">
        <f>IF(ISNUMBER(J17),MAX(A$11:A16)+1,"")</f>
        <v>5</v>
      </c>
      <c r="B17" s="37"/>
      <c r="C17" s="8" t="s">
        <v>62</v>
      </c>
      <c r="D17" s="158"/>
      <c r="E17" s="13" t="str">
        <f>"Line "&amp;A13&amp;" / Line "&amp;A16</f>
        <v>Line 1 / Line 4</v>
      </c>
      <c r="F17" s="158"/>
      <c r="G17" s="158"/>
      <c r="H17" s="157" t="s">
        <v>182</v>
      </c>
      <c r="J17" s="160">
        <f>IF(J13&gt;0,J16/J13,0)</f>
        <v>1</v>
      </c>
      <c r="K17" s="73"/>
      <c r="M17" s="13"/>
      <c r="N17" s="13"/>
    </row>
    <row r="18" spans="1:14" ht="19.5" thickTop="1">
      <c r="A18" s="37" t="str">
        <f>IF(ISNUMBER(J18),MAX(A$11:A17)+1,"")</f>
        <v/>
      </c>
      <c r="B18" s="37"/>
      <c r="C18" s="6"/>
      <c r="D18" s="158"/>
      <c r="E18" s="158"/>
      <c r="F18" s="158"/>
      <c r="G18" s="158"/>
      <c r="H18" s="157"/>
      <c r="J18" s="165"/>
      <c r="K18" s="73"/>
      <c r="M18" s="13"/>
      <c r="N18" s="13"/>
    </row>
    <row r="19" spans="1:14">
      <c r="A19" s="37" t="str">
        <f>IF(ISNUMBER(J19),MAX(A$11:A18)+1,"")</f>
        <v/>
      </c>
      <c r="B19" s="37"/>
      <c r="C19" s="283" t="s">
        <v>183</v>
      </c>
      <c r="D19" s="156"/>
      <c r="E19" s="13"/>
      <c r="F19" s="13"/>
      <c r="G19" s="13"/>
      <c r="H19" s="157"/>
      <c r="J19" s="156"/>
      <c r="K19" s="73"/>
      <c r="M19" s="156"/>
      <c r="N19" s="156"/>
    </row>
    <row r="20" spans="1:14">
      <c r="A20" s="37">
        <f>IF(ISNUMBER(J20),MAX(A$11:A19)+1,"")</f>
        <v>6</v>
      </c>
      <c r="B20" s="37"/>
      <c r="C20" s="6" t="s">
        <v>184</v>
      </c>
      <c r="D20" s="156"/>
      <c r="E20" s="13" t="s">
        <v>185</v>
      </c>
      <c r="F20" s="13"/>
      <c r="G20" s="13"/>
      <c r="H20" s="157"/>
      <c r="J20" s="166">
        <f>SUM('Gross Plant In Service-Exh. V'!H51:H54)</f>
        <v>270259292.02000004</v>
      </c>
      <c r="K20" s="73"/>
      <c r="M20" s="156"/>
      <c r="N20" s="156"/>
    </row>
    <row r="21" spans="1:14">
      <c r="A21" s="37">
        <f>IF(ISNUMBER(J21),MAX(A$11:A20)+1,"")</f>
        <v>7</v>
      </c>
      <c r="B21" s="37"/>
      <c r="C21" s="6" t="s">
        <v>186</v>
      </c>
      <c r="D21" s="156"/>
      <c r="E21" s="13" t="s">
        <v>187</v>
      </c>
      <c r="F21" s="13"/>
      <c r="G21" s="13"/>
      <c r="H21" s="157"/>
      <c r="J21" s="167">
        <f>SUM('Gross Plant In Service-Exh. V'!H51:H54)+SUM('Gross Plant In Service-Exh. V'!H58:H61)</f>
        <v>397346387.43000007</v>
      </c>
      <c r="K21" s="73"/>
      <c r="M21" s="156"/>
      <c r="N21" s="156"/>
    </row>
    <row r="22" spans="1:14" ht="19.5" thickBot="1">
      <c r="A22" s="37">
        <f>IF(ISNUMBER(J22),MAX(A$11:A21)+1,"")</f>
        <v>8</v>
      </c>
      <c r="B22" s="37"/>
      <c r="C22" s="6" t="s">
        <v>188</v>
      </c>
      <c r="D22" s="156"/>
      <c r="E22" s="13" t="str">
        <f>"Line "&amp;A20&amp;" / Line "&amp;A21</f>
        <v>Line 6 / Line 7</v>
      </c>
      <c r="F22" s="13"/>
      <c r="G22" s="13"/>
      <c r="H22" s="157" t="s">
        <v>189</v>
      </c>
      <c r="J22" s="168">
        <f>J20/J21</f>
        <v>0.68016043575483931</v>
      </c>
      <c r="K22" s="73"/>
      <c r="M22" s="156"/>
      <c r="N22" s="156"/>
    </row>
    <row r="23" spans="1:14" ht="19.5" thickTop="1">
      <c r="A23" s="37" t="str">
        <f>IF(ISNUMBER(J23),MAX(A$11:A22)+1,"")</f>
        <v/>
      </c>
      <c r="B23" s="37"/>
      <c r="C23" s="6"/>
      <c r="D23" s="158"/>
      <c r="E23" s="158"/>
      <c r="F23" s="158"/>
      <c r="G23" s="158"/>
      <c r="H23" s="157"/>
      <c r="J23" s="165"/>
      <c r="K23" s="73"/>
      <c r="M23" s="13"/>
      <c r="N23" s="13"/>
    </row>
    <row r="24" spans="1:14">
      <c r="A24" s="37" t="str">
        <f>IF(ISNUMBER(J24),MAX(A$11:A23)+1,"")</f>
        <v/>
      </c>
      <c r="C24" s="154" t="s">
        <v>190</v>
      </c>
      <c r="D24" s="156"/>
      <c r="E24" s="156"/>
      <c r="F24" s="156"/>
      <c r="G24" s="156"/>
      <c r="H24" s="156"/>
      <c r="J24" s="156"/>
      <c r="K24" s="73"/>
      <c r="M24" s="13"/>
      <c r="N24" s="156"/>
    </row>
    <row r="25" spans="1:14">
      <c r="A25" s="37">
        <f>IF(ISNUMBER(J25),MAX(A$11:A24)+1,"")</f>
        <v>9</v>
      </c>
      <c r="B25" s="37"/>
      <c r="C25" s="6" t="s">
        <v>191</v>
      </c>
      <c r="D25" s="156"/>
      <c r="E25" s="13" t="s">
        <v>192</v>
      </c>
      <c r="F25" s="13"/>
      <c r="G25" s="13"/>
      <c r="H25" s="13"/>
      <c r="J25" s="118">
        <f>'Gross Plant In Service-Exh. V'!H63</f>
        <v>609096159.01999998</v>
      </c>
      <c r="K25" s="73"/>
      <c r="M25" s="13"/>
      <c r="N25" s="156"/>
    </row>
    <row r="26" spans="1:14">
      <c r="A26" s="37">
        <f>IF(ISNUMBER(J26),MAX(A$11:A25)+1,"")</f>
        <v>10</v>
      </c>
      <c r="B26" s="37"/>
      <c r="C26" s="6" t="s">
        <v>193</v>
      </c>
      <c r="D26" s="156"/>
      <c r="E26" s="156" t="s">
        <v>177</v>
      </c>
      <c r="F26" s="13"/>
      <c r="G26" s="13"/>
      <c r="H26" s="13"/>
      <c r="J26" s="118">
        <f>-J14</f>
        <v>0</v>
      </c>
      <c r="K26" s="73"/>
      <c r="M26" s="13"/>
      <c r="N26" s="156"/>
    </row>
    <row r="27" spans="1:14">
      <c r="A27" s="37">
        <f>IF(ISNUMBER(J27),MAX(A$11:A26)+1,"")</f>
        <v>11</v>
      </c>
      <c r="B27" s="37"/>
      <c r="C27" s="155" t="s">
        <v>194</v>
      </c>
      <c r="D27" s="156"/>
      <c r="E27" s="13" t="s">
        <v>179</v>
      </c>
      <c r="F27" s="13"/>
      <c r="G27" s="13"/>
      <c r="H27" s="13"/>
      <c r="J27" s="164">
        <v>0</v>
      </c>
      <c r="K27" s="73"/>
      <c r="M27" s="13"/>
      <c r="N27" s="156"/>
    </row>
    <row r="28" spans="1:14">
      <c r="A28" s="37">
        <f>IF(ISNUMBER(J28),MAX(A$11:A27)+1,"")</f>
        <v>12</v>
      </c>
      <c r="B28" s="37"/>
      <c r="C28" s="8" t="s">
        <v>195</v>
      </c>
      <c r="D28" s="156"/>
      <c r="E28" s="13" t="s">
        <v>181</v>
      </c>
      <c r="F28" s="13"/>
      <c r="G28" s="13"/>
      <c r="H28" s="13"/>
      <c r="J28" s="118">
        <f>J25-J27</f>
        <v>609096159.01999998</v>
      </c>
      <c r="K28" s="73"/>
      <c r="M28" s="13"/>
      <c r="N28" s="156"/>
    </row>
    <row r="29" spans="1:14" ht="19.5" thickBot="1">
      <c r="A29" s="37">
        <f>IF(ISNUMBER(J29),MAX(A$11:A28)+1,"")</f>
        <v>13</v>
      </c>
      <c r="B29" s="37"/>
      <c r="C29" s="8" t="s">
        <v>196</v>
      </c>
      <c r="D29" s="158"/>
      <c r="E29" s="13" t="str">
        <f>"Line "&amp;A25&amp;" / Line "&amp;A28</f>
        <v>Line 9 / Line 12</v>
      </c>
      <c r="F29" s="158"/>
      <c r="G29" s="158"/>
      <c r="H29" s="157" t="s">
        <v>197</v>
      </c>
      <c r="J29" s="160">
        <f>IF(J25&gt;0,J28/J25,0)</f>
        <v>1</v>
      </c>
      <c r="K29" s="73"/>
      <c r="M29" s="13"/>
      <c r="N29" s="156"/>
    </row>
    <row r="30" spans="1:14" ht="19.5" thickTop="1">
      <c r="A30" s="37" t="str">
        <f>IF(ISNUMBER(J30),MAX(A$11:A29)+1,"")</f>
        <v/>
      </c>
      <c r="B30" s="37"/>
      <c r="C30" s="6"/>
      <c r="D30" s="158"/>
      <c r="E30" s="158"/>
      <c r="F30" s="158"/>
      <c r="G30" s="158"/>
      <c r="H30" s="157"/>
      <c r="J30" s="165"/>
      <c r="K30" s="73"/>
      <c r="M30" s="13"/>
      <c r="N30" s="156"/>
    </row>
    <row r="31" spans="1:14" ht="19.5" thickBot="1">
      <c r="A31" s="37">
        <f>IF(ISNUMBER(J31),MAX(A$11:A30)+1,"")</f>
        <v>14</v>
      </c>
      <c r="B31" s="37"/>
      <c r="C31" s="6" t="s">
        <v>81</v>
      </c>
      <c r="D31" s="158"/>
      <c r="E31" s="13" t="str">
        <f>"Line "&amp;A22&amp;" * Line "&amp;A29</f>
        <v>Line 8 * Line 13</v>
      </c>
      <c r="F31" s="158"/>
      <c r="G31" s="158"/>
      <c r="H31" s="157" t="s">
        <v>198</v>
      </c>
      <c r="J31" s="160">
        <f>J22*J29</f>
        <v>0.68016043575483931</v>
      </c>
      <c r="K31" s="73"/>
      <c r="M31" s="13"/>
      <c r="N31" s="13"/>
    </row>
    <row r="32" spans="1:14" ht="19.5" thickTop="1">
      <c r="A32" s="37"/>
      <c r="B32" s="37"/>
      <c r="C32" s="6"/>
      <c r="D32" s="158"/>
      <c r="E32" s="158"/>
      <c r="F32" s="158"/>
      <c r="G32" s="158"/>
      <c r="H32" s="158"/>
      <c r="I32" s="158"/>
      <c r="J32" s="158"/>
      <c r="K32" s="157"/>
      <c r="L32" s="165"/>
      <c r="M32" s="13"/>
      <c r="N32" s="156"/>
    </row>
    <row r="33" spans="1:14" ht="19.5" thickBot="1">
      <c r="A33" s="37" t="str">
        <f>IF(ISNUMBER(J33),MAX(A$11:A30)+1,"")</f>
        <v/>
      </c>
      <c r="B33" s="37"/>
      <c r="C33" s="71" t="s">
        <v>199</v>
      </c>
      <c r="D33" s="13"/>
      <c r="E33" s="112" t="s">
        <v>3</v>
      </c>
      <c r="F33" s="112" t="s">
        <v>168</v>
      </c>
      <c r="G33" s="112"/>
      <c r="H33" s="112" t="s">
        <v>200</v>
      </c>
      <c r="I33" s="13"/>
      <c r="J33" s="5" t="s">
        <v>141</v>
      </c>
      <c r="M33" s="156"/>
      <c r="N33" s="156"/>
    </row>
    <row r="34" spans="1:14">
      <c r="A34" s="37">
        <f>IF(ISNUMBER(J34),MAX(A$11:A33)+1,"")</f>
        <v>15</v>
      </c>
      <c r="B34" s="37"/>
      <c r="C34" s="6" t="s">
        <v>133</v>
      </c>
      <c r="D34" s="13"/>
      <c r="E34" s="13">
        <v>21922194.550000835</v>
      </c>
      <c r="F34" s="159" t="s">
        <v>201</v>
      </c>
      <c r="G34" s="14">
        <v>1</v>
      </c>
      <c r="H34" s="113">
        <f>E34*G34</f>
        <v>21922194.550000835</v>
      </c>
      <c r="I34" s="13"/>
      <c r="J34" s="114">
        <f>IF(H34&gt;0,H34/E38,0)</f>
        <v>0.51302686091922756</v>
      </c>
      <c r="M34" s="13"/>
      <c r="N34" s="13"/>
    </row>
    <row r="35" spans="1:14">
      <c r="A35" s="37">
        <f>IF(ISNUMBER(J35),MAX(A$11:A34)+1,"")</f>
        <v>16</v>
      </c>
      <c r="B35" s="37"/>
      <c r="C35" s="6" t="s">
        <v>106</v>
      </c>
      <c r="D35" s="13"/>
      <c r="E35" s="13">
        <v>6325809.2299999902</v>
      </c>
      <c r="F35" s="159" t="s">
        <v>201</v>
      </c>
      <c r="G35" s="14">
        <v>1</v>
      </c>
      <c r="H35" s="113">
        <f>E35*G35</f>
        <v>6325809.2299999902</v>
      </c>
      <c r="I35" s="157" t="s">
        <v>202</v>
      </c>
      <c r="J35" s="114">
        <f>IF(H35&gt;0,H35/E38,0)</f>
        <v>0.14803764489174498</v>
      </c>
      <c r="M35" s="13"/>
      <c r="N35" s="13"/>
    </row>
    <row r="36" spans="1:14">
      <c r="A36" s="37">
        <f>IF(ISNUMBER(J36),MAX(A$11:A35)+1,"")</f>
        <v>17</v>
      </c>
      <c r="B36" s="37"/>
      <c r="C36" s="6" t="s">
        <v>107</v>
      </c>
      <c r="D36" s="13"/>
      <c r="E36" s="13">
        <v>9684507.809999872</v>
      </c>
      <c r="F36" s="159" t="s">
        <v>201</v>
      </c>
      <c r="G36" s="14">
        <v>1</v>
      </c>
      <c r="H36" s="113">
        <f>E36*G36</f>
        <v>9684507.809999872</v>
      </c>
      <c r="I36" s="157" t="s">
        <v>203</v>
      </c>
      <c r="J36" s="114">
        <f>IF(H36&gt;0,H36/E38,0)</f>
        <v>0.22663847043140981</v>
      </c>
      <c r="M36" s="13"/>
      <c r="N36" s="13"/>
    </row>
    <row r="37" spans="1:14" ht="19.5" thickBot="1">
      <c r="A37" s="37">
        <f>IF(ISNUMBER(J37),MAX(A$11:A36)+1,"")</f>
        <v>18</v>
      </c>
      <c r="B37" s="37"/>
      <c r="C37" s="6" t="s">
        <v>204</v>
      </c>
      <c r="D37" s="13"/>
      <c r="E37" s="13">
        <v>4798573.6999999927</v>
      </c>
      <c r="F37" s="159" t="s">
        <v>201</v>
      </c>
      <c r="G37" s="14">
        <v>1</v>
      </c>
      <c r="H37" s="115">
        <f>E37*G37</f>
        <v>4798573.6999999927</v>
      </c>
      <c r="I37" s="13"/>
      <c r="J37" s="116">
        <f>IF(H37&gt;0,H37/E38,0)</f>
        <v>0.11229702375761763</v>
      </c>
      <c r="M37" s="13"/>
      <c r="N37" s="13"/>
    </row>
    <row r="38" spans="1:14">
      <c r="A38" s="37">
        <f>IF(ISNUMBER(J38),MAX(A$11:A37)+1,"")</f>
        <v>19</v>
      </c>
      <c r="B38" s="37"/>
      <c r="C38" s="8" t="s">
        <v>205</v>
      </c>
      <c r="D38" s="13"/>
      <c r="E38" s="117">
        <f>SUM(E34:E37)</f>
        <v>42731085.290000692</v>
      </c>
      <c r="F38" s="118"/>
      <c r="G38" s="13"/>
      <c r="H38" s="118">
        <f>SUM(H34:H37)</f>
        <v>42731085.290000692</v>
      </c>
      <c r="I38" s="156"/>
      <c r="J38" s="9">
        <f>SUM(J34:J37)</f>
        <v>1</v>
      </c>
    </row>
    <row r="39" spans="1:14">
      <c r="A39" s="37" t="str">
        <f>IF(ISNUMBER(J39),MAX(A$11:A38)+1,"")</f>
        <v/>
      </c>
      <c r="B39" s="37"/>
      <c r="C39" s="156" t="s">
        <v>167</v>
      </c>
      <c r="D39" s="13" t="s">
        <v>167</v>
      </c>
      <c r="E39" s="13"/>
      <c r="F39" s="13"/>
      <c r="G39" s="13"/>
      <c r="H39" s="13"/>
      <c r="I39" s="156"/>
      <c r="J39" s="156"/>
      <c r="M39" s="156"/>
      <c r="N39" s="156"/>
    </row>
    <row r="40" spans="1:14" ht="19.5" thickBot="1">
      <c r="A40" s="37">
        <f>IF(ISNUMBER(J40),MAX(A$11:A39)+1,"")</f>
        <v>20</v>
      </c>
      <c r="B40" s="37"/>
      <c r="C40" s="154" t="s">
        <v>206</v>
      </c>
      <c r="D40" s="13"/>
      <c r="E40" s="13"/>
      <c r="F40" s="13"/>
      <c r="G40" s="13"/>
      <c r="H40" s="13"/>
      <c r="I40" s="154"/>
      <c r="J40" s="169">
        <f>J34+J37</f>
        <v>0.62532388467684519</v>
      </c>
      <c r="M40" s="156"/>
      <c r="N40" s="156"/>
    </row>
    <row r="41" spans="1:14" ht="19.5" thickTop="1">
      <c r="A41" s="37" t="str">
        <f>IF(ISNUMBER(L41),MAX(A$11:A40)+1,"")</f>
        <v/>
      </c>
      <c r="B41" s="37"/>
      <c r="C41" s="156"/>
      <c r="D41" s="13"/>
      <c r="E41" s="156"/>
      <c r="F41" s="13"/>
      <c r="G41" s="13"/>
      <c r="H41" s="13"/>
      <c r="I41" s="13"/>
      <c r="J41" s="13"/>
      <c r="K41" s="156"/>
      <c r="L41" s="156"/>
      <c r="M41" s="156"/>
      <c r="N41" s="156"/>
    </row>
    <row r="42" spans="1:14">
      <c r="A42" s="51" t="s">
        <v>207</v>
      </c>
    </row>
    <row r="43" spans="1:14">
      <c r="A43" s="51" t="s">
        <v>208</v>
      </c>
      <c r="C43" s="73" t="s">
        <v>209</v>
      </c>
    </row>
    <row r="44" spans="1:14">
      <c r="C44" s="73" t="s">
        <v>210</v>
      </c>
    </row>
    <row r="46" spans="1:14">
      <c r="A46" s="51" t="s">
        <v>211</v>
      </c>
      <c r="C46" s="73" t="s">
        <v>212</v>
      </c>
    </row>
  </sheetData>
  <pageMargins left="0" right="0" top="0" bottom="0" header="0" footer="0"/>
  <pageSetup scale="65" orientation="landscape" r:id="rId1"/>
  <headerFooter>
    <oddHeader xml:space="preserve">&amp;RExhibit III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D2A1-A328-4901-996D-10229F878AC6}">
  <dimension ref="A1:L135"/>
  <sheetViews>
    <sheetView topLeftCell="A16" workbookViewId="0">
      <selection activeCell="E126" sqref="E126"/>
    </sheetView>
  </sheetViews>
  <sheetFormatPr defaultColWidth="7.109375" defaultRowHeight="18.75"/>
  <cols>
    <col min="1" max="1" width="4.44140625" style="11" customWidth="1"/>
    <col min="2" max="2" width="9.33203125" style="54" customWidth="1"/>
    <col min="3" max="3" width="62.5546875" style="11" customWidth="1"/>
    <col min="4" max="4" width="3.33203125" style="11" customWidth="1"/>
    <col min="5" max="5" width="14.6640625" style="11" bestFit="1" customWidth="1"/>
    <col min="6" max="6" width="14.5546875" style="11" bestFit="1" customWidth="1"/>
    <col min="7" max="7" width="12.77734375" style="11" bestFit="1" customWidth="1"/>
    <col min="8" max="8" width="14.6640625" style="11" bestFit="1" customWidth="1"/>
    <col min="9" max="10" width="12.77734375" style="11" customWidth="1"/>
    <col min="11" max="11" width="72.5546875" style="11" bestFit="1" customWidth="1"/>
    <col min="12" max="12" width="11.6640625" style="11" bestFit="1" customWidth="1"/>
    <col min="13" max="16384" width="7.109375" style="11"/>
  </cols>
  <sheetData>
    <row r="1" spans="1:11">
      <c r="A1" s="53"/>
    </row>
    <row r="2" spans="1:11">
      <c r="A2" s="106" t="str">
        <f>'Cost of Service Factors-Exh. I'!A1</f>
        <v>Grant County Public Utility District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>
      <c r="A3" s="107" t="s">
        <v>213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1">
      <c r="A4" s="53"/>
    </row>
    <row r="5" spans="1:11">
      <c r="A5" s="53" t="s">
        <v>167</v>
      </c>
    </row>
    <row r="6" spans="1:11">
      <c r="A6" s="53"/>
    </row>
    <row r="7" spans="1:11">
      <c r="A7" s="55"/>
      <c r="E7" s="216"/>
      <c r="F7" s="216"/>
      <c r="G7" s="216"/>
      <c r="H7" s="11" t="s">
        <v>167</v>
      </c>
      <c r="I7" s="122" t="s">
        <v>214</v>
      </c>
      <c r="J7" s="122"/>
    </row>
    <row r="8" spans="1:11">
      <c r="A8" s="58" t="s">
        <v>45</v>
      </c>
      <c r="B8" s="28" t="s">
        <v>215</v>
      </c>
      <c r="C8" s="28"/>
      <c r="D8" s="28"/>
      <c r="E8" s="28" t="s">
        <v>149</v>
      </c>
      <c r="G8" s="28" t="s">
        <v>216</v>
      </c>
      <c r="H8" s="28" t="s">
        <v>217</v>
      </c>
      <c r="I8" s="28"/>
      <c r="J8" s="28"/>
    </row>
    <row r="9" spans="1:11">
      <c r="A9" s="136" t="s">
        <v>218</v>
      </c>
      <c r="B9" s="29" t="s">
        <v>219</v>
      </c>
      <c r="C9" s="33" t="s">
        <v>220</v>
      </c>
      <c r="D9" s="33"/>
      <c r="E9" s="29" t="s">
        <v>221</v>
      </c>
      <c r="F9" s="29" t="s">
        <v>222</v>
      </c>
      <c r="G9" s="29" t="s">
        <v>221</v>
      </c>
      <c r="H9" s="29" t="s">
        <v>133</v>
      </c>
      <c r="I9" s="29" t="s">
        <v>106</v>
      </c>
      <c r="J9" s="29" t="s">
        <v>107</v>
      </c>
      <c r="K9" s="29" t="s">
        <v>223</v>
      </c>
    </row>
    <row r="10" spans="1:11">
      <c r="A10" s="55"/>
      <c r="B10" s="58" t="s">
        <v>52</v>
      </c>
      <c r="C10" s="58" t="s">
        <v>53</v>
      </c>
      <c r="D10" s="58"/>
      <c r="E10" s="58" t="s">
        <v>224</v>
      </c>
      <c r="F10" s="58" t="s">
        <v>55</v>
      </c>
      <c r="G10" s="58" t="s">
        <v>225</v>
      </c>
      <c r="H10" s="58" t="s">
        <v>226</v>
      </c>
      <c r="I10" s="58" t="s">
        <v>227</v>
      </c>
      <c r="J10" s="58" t="s">
        <v>228</v>
      </c>
      <c r="K10" s="58" t="s">
        <v>229</v>
      </c>
    </row>
    <row r="11" spans="1:11">
      <c r="F11" s="123" t="s">
        <v>87</v>
      </c>
      <c r="G11" s="28"/>
    </row>
    <row r="12" spans="1:11">
      <c r="A12" s="58" t="str">
        <f>IF(ISNUMBER(G12),MAX(A$11:A11)+1, "")</f>
        <v/>
      </c>
      <c r="C12" s="137" t="s">
        <v>230</v>
      </c>
      <c r="D12" s="137"/>
      <c r="E12" s="21"/>
      <c r="F12" s="21"/>
      <c r="G12" s="21"/>
    </row>
    <row r="13" spans="1:11">
      <c r="A13" s="58">
        <f>IF(ISNUMBER(G13),MAX(A$11:A12)+1, "")</f>
        <v>1</v>
      </c>
      <c r="B13" s="54">
        <v>535</v>
      </c>
      <c r="C13" s="60" t="s">
        <v>231</v>
      </c>
      <c r="D13" s="60"/>
      <c r="E13" s="21">
        <v>4219243.7300000004</v>
      </c>
      <c r="F13" s="21">
        <v>0</v>
      </c>
      <c r="G13" s="21">
        <f t="shared" ref="G13:G26" si="0">SUM(E13:F13)</f>
        <v>4219243.7300000004</v>
      </c>
      <c r="H13" s="11">
        <f>G13</f>
        <v>4219243.7300000004</v>
      </c>
      <c r="I13" s="11">
        <v>0</v>
      </c>
      <c r="J13" s="11">
        <v>0</v>
      </c>
      <c r="K13" s="11" t="s">
        <v>232</v>
      </c>
    </row>
    <row r="14" spans="1:11">
      <c r="A14" s="58">
        <f>IF(ISNUMBER(G14),MAX(A$11:A13)+1, "")</f>
        <v>2</v>
      </c>
      <c r="B14" s="54">
        <v>536</v>
      </c>
      <c r="C14" s="60" t="s">
        <v>233</v>
      </c>
      <c r="D14" s="60"/>
      <c r="E14" s="21">
        <v>3361162.02</v>
      </c>
      <c r="F14" s="21">
        <v>0</v>
      </c>
      <c r="G14" s="21">
        <f t="shared" si="0"/>
        <v>3361162.02</v>
      </c>
      <c r="H14" s="11">
        <f t="shared" ref="H14:H26" si="1">G14</f>
        <v>3361162.02</v>
      </c>
      <c r="I14" s="11">
        <v>0</v>
      </c>
      <c r="J14" s="11">
        <v>0</v>
      </c>
      <c r="K14" s="11" t="s">
        <v>232</v>
      </c>
    </row>
    <row r="15" spans="1:11">
      <c r="A15" s="58">
        <f>IF(ISNUMBER(G15),MAX(A$11:A14)+1, "")</f>
        <v>3</v>
      </c>
      <c r="B15" s="54">
        <v>537</v>
      </c>
      <c r="C15" s="60" t="s">
        <v>234</v>
      </c>
      <c r="D15" s="60"/>
      <c r="E15" s="21">
        <v>1776763.64</v>
      </c>
      <c r="F15" s="21">
        <v>0</v>
      </c>
      <c r="G15" s="21">
        <f t="shared" si="0"/>
        <v>1776763.64</v>
      </c>
      <c r="H15" s="11">
        <f t="shared" si="1"/>
        <v>1776763.64</v>
      </c>
      <c r="I15" s="11">
        <v>0</v>
      </c>
      <c r="J15" s="11">
        <v>0</v>
      </c>
      <c r="K15" s="11" t="s">
        <v>232</v>
      </c>
    </row>
    <row r="16" spans="1:11">
      <c r="A16" s="58">
        <f>IF(ISNUMBER(G16),MAX(A$11:A15)+1, "")</f>
        <v>4</v>
      </c>
      <c r="B16" s="54">
        <v>538</v>
      </c>
      <c r="C16" s="60" t="s">
        <v>235</v>
      </c>
      <c r="D16" s="60"/>
      <c r="E16" s="21">
        <v>53138.58</v>
      </c>
      <c r="F16" s="21">
        <v>0</v>
      </c>
      <c r="G16" s="21">
        <f t="shared" si="0"/>
        <v>53138.58</v>
      </c>
      <c r="H16" s="11">
        <f t="shared" si="1"/>
        <v>53138.58</v>
      </c>
      <c r="I16" s="11">
        <v>0</v>
      </c>
      <c r="J16" s="11">
        <v>0</v>
      </c>
      <c r="K16" s="11" t="s">
        <v>232</v>
      </c>
    </row>
    <row r="17" spans="1:11">
      <c r="A17" s="58">
        <f>IF(ISNUMBER(G17),MAX(A$11:A16)+1, "")</f>
        <v>5</v>
      </c>
      <c r="B17" s="54">
        <v>539</v>
      </c>
      <c r="C17" s="60" t="s">
        <v>236</v>
      </c>
      <c r="D17" s="60"/>
      <c r="E17" s="21">
        <v>6618470.46</v>
      </c>
      <c r="F17" s="21">
        <v>-2605567.9500000002</v>
      </c>
      <c r="G17" s="21">
        <f t="shared" si="0"/>
        <v>4012902.51</v>
      </c>
      <c r="H17" s="11">
        <f t="shared" si="1"/>
        <v>4012902.51</v>
      </c>
      <c r="I17" s="11">
        <v>0</v>
      </c>
      <c r="J17" s="11">
        <v>0</v>
      </c>
      <c r="K17" s="11" t="s">
        <v>232</v>
      </c>
    </row>
    <row r="18" spans="1:11">
      <c r="A18" s="58">
        <f>IF(ISNUMBER(G18),MAX(A$11:A17)+1, "")</f>
        <v>6</v>
      </c>
      <c r="B18" s="54">
        <v>540</v>
      </c>
      <c r="C18" s="60" t="s">
        <v>237</v>
      </c>
      <c r="D18" s="60"/>
      <c r="E18" s="21">
        <v>127623.79</v>
      </c>
      <c r="F18" s="21">
        <v>0</v>
      </c>
      <c r="G18" s="21">
        <f t="shared" si="0"/>
        <v>127623.79</v>
      </c>
      <c r="H18" s="11">
        <f t="shared" si="1"/>
        <v>127623.79</v>
      </c>
      <c r="I18" s="11">
        <v>0</v>
      </c>
      <c r="J18" s="11">
        <v>0</v>
      </c>
      <c r="K18" s="11" t="s">
        <v>232</v>
      </c>
    </row>
    <row r="19" spans="1:11">
      <c r="A19" s="58">
        <f>IF(ISNUMBER(G19),MAX(A$11:A18)+1, "")</f>
        <v>7</v>
      </c>
      <c r="B19" s="54">
        <v>540.1</v>
      </c>
      <c r="C19" s="60" t="s">
        <v>238</v>
      </c>
      <c r="D19" s="60"/>
      <c r="E19" s="21">
        <v>0</v>
      </c>
      <c r="F19" s="21">
        <v>0</v>
      </c>
      <c r="G19" s="21">
        <f t="shared" si="0"/>
        <v>0</v>
      </c>
      <c r="H19" s="11">
        <f t="shared" si="1"/>
        <v>0</v>
      </c>
      <c r="I19" s="11">
        <v>0</v>
      </c>
      <c r="J19" s="11">
        <v>0</v>
      </c>
      <c r="K19" s="11" t="s">
        <v>232</v>
      </c>
    </row>
    <row r="20" spans="1:11">
      <c r="A20" s="58">
        <f>IF(ISNUMBER(G20),MAX(A$11:A19)+1, "")</f>
        <v>8</v>
      </c>
      <c r="B20" s="54">
        <v>541</v>
      </c>
      <c r="C20" s="60" t="s">
        <v>239</v>
      </c>
      <c r="D20" s="60"/>
      <c r="E20" s="21">
        <v>3297121.73</v>
      </c>
      <c r="F20" s="21">
        <v>0</v>
      </c>
      <c r="G20" s="21">
        <f t="shared" si="0"/>
        <v>3297121.73</v>
      </c>
      <c r="H20" s="11">
        <f t="shared" si="1"/>
        <v>3297121.73</v>
      </c>
      <c r="I20" s="11">
        <v>0</v>
      </c>
      <c r="J20" s="11">
        <v>0</v>
      </c>
      <c r="K20" s="11" t="s">
        <v>232</v>
      </c>
    </row>
    <row r="21" spans="1:11">
      <c r="A21" s="58">
        <f>IF(ISNUMBER(G21),MAX(A$11:A20)+1, "")</f>
        <v>9</v>
      </c>
      <c r="B21" s="54">
        <v>542</v>
      </c>
      <c r="C21" s="60" t="s">
        <v>240</v>
      </c>
      <c r="D21" s="60"/>
      <c r="E21" s="21">
        <v>78603.890000000014</v>
      </c>
      <c r="F21" s="21">
        <v>0</v>
      </c>
      <c r="G21" s="21">
        <f t="shared" si="0"/>
        <v>78603.890000000014</v>
      </c>
      <c r="H21" s="11">
        <f t="shared" si="1"/>
        <v>78603.890000000014</v>
      </c>
      <c r="I21" s="11">
        <v>0</v>
      </c>
      <c r="J21" s="11">
        <v>0</v>
      </c>
      <c r="K21" s="11" t="s">
        <v>232</v>
      </c>
    </row>
    <row r="22" spans="1:11">
      <c r="A22" s="58">
        <f>IF(ISNUMBER(G22),MAX(A$11:A21)+1, "")</f>
        <v>10</v>
      </c>
      <c r="B22" s="54">
        <v>543</v>
      </c>
      <c r="C22" s="60" t="s">
        <v>241</v>
      </c>
      <c r="D22" s="60"/>
      <c r="E22" s="21">
        <v>2177603.4900000002</v>
      </c>
      <c r="F22" s="21">
        <v>0</v>
      </c>
      <c r="G22" s="21">
        <f t="shared" si="0"/>
        <v>2177603.4900000002</v>
      </c>
      <c r="H22" s="11">
        <f t="shared" si="1"/>
        <v>2177603.4900000002</v>
      </c>
      <c r="I22" s="11">
        <v>0</v>
      </c>
      <c r="J22" s="11">
        <v>0</v>
      </c>
      <c r="K22" s="11" t="s">
        <v>232</v>
      </c>
    </row>
    <row r="23" spans="1:11">
      <c r="A23" s="58">
        <f>IF(ISNUMBER(G23),MAX(A$11:A22)+1, "")</f>
        <v>11</v>
      </c>
      <c r="B23" s="54">
        <v>544</v>
      </c>
      <c r="C23" s="60" t="s">
        <v>242</v>
      </c>
      <c r="D23" s="60"/>
      <c r="E23" s="21">
        <v>8778425.8699999992</v>
      </c>
      <c r="F23" s="21">
        <v>0</v>
      </c>
      <c r="G23" s="21">
        <f t="shared" si="0"/>
        <v>8778425.8699999992</v>
      </c>
      <c r="H23" s="11">
        <f t="shared" si="1"/>
        <v>8778425.8699999992</v>
      </c>
      <c r="I23" s="11">
        <v>0</v>
      </c>
      <c r="J23" s="11">
        <v>0</v>
      </c>
      <c r="K23" s="11" t="s">
        <v>232</v>
      </c>
    </row>
    <row r="24" spans="1:11">
      <c r="A24" s="58">
        <f>IF(ISNUMBER(G24),MAX(A$11:A23)+1, "")</f>
        <v>12</v>
      </c>
      <c r="B24" s="54">
        <v>545</v>
      </c>
      <c r="C24" s="60" t="s">
        <v>243</v>
      </c>
      <c r="D24" s="60"/>
      <c r="E24" s="21">
        <v>19393909.280000001</v>
      </c>
      <c r="F24" s="21">
        <v>-16204119.65</v>
      </c>
      <c r="G24" s="21">
        <f t="shared" si="0"/>
        <v>3189789.6300000008</v>
      </c>
      <c r="H24" s="11">
        <f t="shared" si="1"/>
        <v>3189789.6300000008</v>
      </c>
      <c r="I24" s="11">
        <v>0</v>
      </c>
      <c r="J24" s="11">
        <v>0</v>
      </c>
      <c r="K24" s="11" t="s">
        <v>232</v>
      </c>
    </row>
    <row r="25" spans="1:11">
      <c r="A25" s="58">
        <f>IF(ISNUMBER(G25),MAX(A$11:A24)+1, "")</f>
        <v>13</v>
      </c>
      <c r="B25" s="54">
        <v>545.1</v>
      </c>
      <c r="C25" s="60" t="s">
        <v>244</v>
      </c>
      <c r="D25" s="60"/>
      <c r="E25" s="21">
        <v>0</v>
      </c>
      <c r="F25" s="21">
        <v>0</v>
      </c>
      <c r="G25" s="21">
        <f t="shared" si="0"/>
        <v>0</v>
      </c>
      <c r="H25" s="11">
        <f t="shared" si="1"/>
        <v>0</v>
      </c>
      <c r="I25" s="11">
        <v>0</v>
      </c>
      <c r="J25" s="11">
        <v>0</v>
      </c>
      <c r="K25" s="11" t="s">
        <v>232</v>
      </c>
    </row>
    <row r="26" spans="1:11">
      <c r="A26" s="58"/>
      <c r="C26" s="60" t="s">
        <v>245</v>
      </c>
      <c r="D26" s="60"/>
      <c r="E26" s="21">
        <v>0</v>
      </c>
      <c r="F26" s="21">
        <v>482278.65</v>
      </c>
      <c r="G26" s="21">
        <f t="shared" si="0"/>
        <v>482278.65</v>
      </c>
      <c r="H26" s="11">
        <f t="shared" si="1"/>
        <v>482278.65</v>
      </c>
      <c r="I26" s="11">
        <v>0</v>
      </c>
      <c r="J26" s="11">
        <v>0</v>
      </c>
      <c r="K26" s="11" t="s">
        <v>232</v>
      </c>
    </row>
    <row r="27" spans="1:11">
      <c r="A27" s="58">
        <f>IF(ISNUMBER(G27),MAX(A$11:A25)+1, "")</f>
        <v>14</v>
      </c>
      <c r="C27" s="61" t="s">
        <v>246</v>
      </c>
      <c r="D27" s="61"/>
      <c r="E27" s="20">
        <f t="shared" ref="E27:J27" si="2">SUM(E13:E26)</f>
        <v>49882066.479999997</v>
      </c>
      <c r="F27" s="20">
        <f t="shared" si="2"/>
        <v>-18327408.950000003</v>
      </c>
      <c r="G27" s="20">
        <f t="shared" si="2"/>
        <v>31554657.530000001</v>
      </c>
      <c r="H27" s="20">
        <f t="shared" si="2"/>
        <v>31554657.530000001</v>
      </c>
      <c r="I27" s="20">
        <f t="shared" si="2"/>
        <v>0</v>
      </c>
      <c r="J27" s="20">
        <f t="shared" si="2"/>
        <v>0</v>
      </c>
    </row>
    <row r="28" spans="1:11">
      <c r="A28" s="58" t="str">
        <f>IF(ISNUMBER(G28),MAX(A$11:A27)+1, "")</f>
        <v/>
      </c>
      <c r="C28" s="61"/>
      <c r="D28" s="61"/>
      <c r="E28" s="21"/>
      <c r="F28" s="21"/>
      <c r="G28" s="21"/>
    </row>
    <row r="29" spans="1:11">
      <c r="A29" s="58" t="str">
        <f>IF(ISNUMBER(G29),MAX(A$11:A28)+1, "")</f>
        <v/>
      </c>
      <c r="C29" s="61"/>
      <c r="D29" s="61"/>
      <c r="E29" s="21"/>
      <c r="F29" s="21"/>
      <c r="G29" s="21"/>
    </row>
    <row r="30" spans="1:11">
      <c r="A30" s="58" t="str">
        <f>IF(ISNUMBER(G30),MAX(A$11:A29)+1, "")</f>
        <v/>
      </c>
      <c r="C30" s="138" t="s">
        <v>247</v>
      </c>
      <c r="D30" s="138"/>
      <c r="E30" s="21"/>
      <c r="F30" s="21"/>
      <c r="G30" s="21"/>
    </row>
    <row r="31" spans="1:11">
      <c r="A31" s="58">
        <f>IF(ISNUMBER(G31),MAX(A$11:A30)+1, "")</f>
        <v>15</v>
      </c>
      <c r="B31" s="54">
        <v>560</v>
      </c>
      <c r="C31" s="11" t="s">
        <v>248</v>
      </c>
      <c r="E31" s="21">
        <v>93446.94</v>
      </c>
      <c r="F31" s="21">
        <v>0</v>
      </c>
      <c r="G31" s="21">
        <f t="shared" ref="G31:G45" si="3">E31+F31</f>
        <v>93446.94</v>
      </c>
      <c r="H31" s="11">
        <v>0</v>
      </c>
      <c r="I31" s="11">
        <f>G31</f>
        <v>93446.94</v>
      </c>
      <c r="J31" s="11">
        <v>0</v>
      </c>
    </row>
    <row r="32" spans="1:11">
      <c r="A32" s="58">
        <f>IF(ISNUMBER(G32),MAX(A$11:A31)+1, "")</f>
        <v>16</v>
      </c>
      <c r="B32" s="54">
        <v>561</v>
      </c>
      <c r="C32" s="11" t="s">
        <v>249</v>
      </c>
      <c r="E32" s="21">
        <v>5094973.8699999992</v>
      </c>
      <c r="F32" s="21">
        <v>0</v>
      </c>
      <c r="G32" s="21">
        <f t="shared" si="3"/>
        <v>5094973.8699999992</v>
      </c>
      <c r="H32" s="11">
        <v>0</v>
      </c>
      <c r="I32" s="11">
        <f t="shared" ref="I32:I45" si="4">G32</f>
        <v>5094973.8699999992</v>
      </c>
      <c r="J32" s="11">
        <v>0</v>
      </c>
    </row>
    <row r="33" spans="1:11">
      <c r="A33" s="58">
        <f>IF(ISNUMBER(G33),MAX(A$11:A32)+1, "")</f>
        <v>17</v>
      </c>
      <c r="B33" s="54">
        <v>562</v>
      </c>
      <c r="C33" s="11" t="s">
        <v>250</v>
      </c>
      <c r="E33" s="21">
        <v>0</v>
      </c>
      <c r="F33" s="21">
        <v>0</v>
      </c>
      <c r="G33" s="21">
        <f t="shared" si="3"/>
        <v>0</v>
      </c>
      <c r="H33" s="11">
        <v>0</v>
      </c>
      <c r="I33" s="11">
        <f t="shared" si="4"/>
        <v>0</v>
      </c>
      <c r="J33" s="11">
        <v>0</v>
      </c>
    </row>
    <row r="34" spans="1:11">
      <c r="A34" s="58">
        <f>IF(ISNUMBER(G34),MAX(A$11:A33)+1, "")</f>
        <v>18</v>
      </c>
      <c r="B34" s="54">
        <v>563</v>
      </c>
      <c r="C34" s="11" t="s">
        <v>251</v>
      </c>
      <c r="E34" s="21">
        <v>0</v>
      </c>
      <c r="F34" s="21">
        <v>0</v>
      </c>
      <c r="G34" s="21">
        <f t="shared" si="3"/>
        <v>0</v>
      </c>
      <c r="H34" s="11">
        <v>0</v>
      </c>
      <c r="I34" s="11">
        <f t="shared" si="4"/>
        <v>0</v>
      </c>
      <c r="J34" s="11">
        <v>0</v>
      </c>
    </row>
    <row r="35" spans="1:11">
      <c r="A35" s="58">
        <f>IF(ISNUMBER(G35),MAX(A$11:A34)+1, "")</f>
        <v>19</v>
      </c>
      <c r="B35" s="54">
        <v>564</v>
      </c>
      <c r="C35" s="11" t="s">
        <v>252</v>
      </c>
      <c r="E35" s="21">
        <v>0</v>
      </c>
      <c r="F35" s="21">
        <v>0</v>
      </c>
      <c r="G35" s="21">
        <f t="shared" si="3"/>
        <v>0</v>
      </c>
      <c r="H35" s="11">
        <v>0</v>
      </c>
      <c r="I35" s="11">
        <f t="shared" si="4"/>
        <v>0</v>
      </c>
      <c r="J35" s="11">
        <v>0</v>
      </c>
    </row>
    <row r="36" spans="1:11">
      <c r="A36" s="58">
        <f>IF(ISNUMBER(G36),MAX(A$11:A35)+1, "")</f>
        <v>20</v>
      </c>
      <c r="B36" s="54">
        <v>565</v>
      </c>
      <c r="C36" s="11" t="s">
        <v>253</v>
      </c>
      <c r="E36" s="21">
        <v>581439.11</v>
      </c>
      <c r="F36" s="21">
        <v>-581439</v>
      </c>
      <c r="G36" s="21">
        <f t="shared" si="3"/>
        <v>0.10999999998603016</v>
      </c>
      <c r="H36" s="11">
        <v>0</v>
      </c>
      <c r="I36" s="11">
        <f t="shared" si="4"/>
        <v>0.10999999998603016</v>
      </c>
      <c r="J36" s="11">
        <v>0</v>
      </c>
      <c r="K36" s="11" t="s">
        <v>232</v>
      </c>
    </row>
    <row r="37" spans="1:11">
      <c r="A37" s="58">
        <f>IF(ISNUMBER(G37),MAX(A$11:A36)+1, "")</f>
        <v>21</v>
      </c>
      <c r="B37" s="54">
        <v>566</v>
      </c>
      <c r="C37" s="11" t="s">
        <v>254</v>
      </c>
      <c r="E37" s="21">
        <v>177897.02</v>
      </c>
      <c r="F37" s="21">
        <v>0</v>
      </c>
      <c r="G37" s="21">
        <f t="shared" si="3"/>
        <v>177897.02</v>
      </c>
      <c r="H37" s="11">
        <v>0</v>
      </c>
      <c r="I37" s="11">
        <f t="shared" si="4"/>
        <v>177897.02</v>
      </c>
      <c r="J37" s="11">
        <v>0</v>
      </c>
    </row>
    <row r="38" spans="1:11">
      <c r="A38" s="58">
        <f>IF(ISNUMBER(G38),MAX(A$11:A37)+1, "")</f>
        <v>22</v>
      </c>
      <c r="B38" s="54">
        <v>567</v>
      </c>
      <c r="C38" s="11" t="s">
        <v>255</v>
      </c>
      <c r="E38" s="21">
        <v>0</v>
      </c>
      <c r="F38" s="21">
        <v>0</v>
      </c>
      <c r="G38" s="21">
        <f t="shared" si="3"/>
        <v>0</v>
      </c>
      <c r="H38" s="11">
        <v>0</v>
      </c>
      <c r="I38" s="11">
        <f t="shared" si="4"/>
        <v>0</v>
      </c>
      <c r="J38" s="11">
        <v>0</v>
      </c>
    </row>
    <row r="39" spans="1:11">
      <c r="A39" s="58">
        <f>IF(ISNUMBER(G39),MAX(A$11:A38)+1, "")</f>
        <v>23</v>
      </c>
      <c r="B39" s="54">
        <v>568</v>
      </c>
      <c r="C39" s="11" t="s">
        <v>256</v>
      </c>
      <c r="E39" s="21">
        <v>28407.82</v>
      </c>
      <c r="F39" s="21">
        <v>0</v>
      </c>
      <c r="G39" s="21">
        <f t="shared" si="3"/>
        <v>28407.82</v>
      </c>
      <c r="H39" s="11">
        <v>0</v>
      </c>
      <c r="I39" s="11">
        <f t="shared" si="4"/>
        <v>28407.82</v>
      </c>
      <c r="J39" s="11">
        <v>0</v>
      </c>
    </row>
    <row r="40" spans="1:11">
      <c r="A40" s="58">
        <f>IF(ISNUMBER(G40),MAX(A$11:A39)+1, "")</f>
        <v>24</v>
      </c>
      <c r="B40" s="54">
        <v>569</v>
      </c>
      <c r="C40" s="11" t="s">
        <v>257</v>
      </c>
      <c r="E40" s="21">
        <v>0</v>
      </c>
      <c r="F40" s="21">
        <v>0</v>
      </c>
      <c r="G40" s="21">
        <f t="shared" si="3"/>
        <v>0</v>
      </c>
      <c r="H40" s="11">
        <v>0</v>
      </c>
      <c r="I40" s="11">
        <f t="shared" si="4"/>
        <v>0</v>
      </c>
      <c r="J40" s="11">
        <v>0</v>
      </c>
    </row>
    <row r="41" spans="1:11">
      <c r="A41" s="58">
        <f>IF(ISNUMBER(G41),MAX(A$11:A40)+1, "")</f>
        <v>25</v>
      </c>
      <c r="B41" s="54">
        <v>570</v>
      </c>
      <c r="C41" s="11" t="s">
        <v>258</v>
      </c>
      <c r="E41" s="21">
        <v>520435.13</v>
      </c>
      <c r="F41" s="21">
        <v>0</v>
      </c>
      <c r="G41" s="21">
        <f t="shared" si="3"/>
        <v>520435.13</v>
      </c>
      <c r="H41" s="11">
        <v>0</v>
      </c>
      <c r="I41" s="11">
        <f t="shared" si="4"/>
        <v>520435.13</v>
      </c>
      <c r="J41" s="11">
        <v>0</v>
      </c>
    </row>
    <row r="42" spans="1:11">
      <c r="A42" s="58">
        <f>IF(ISNUMBER(G42),MAX(A$11:A41)+1, "")</f>
        <v>26</v>
      </c>
      <c r="B42" s="54">
        <v>571</v>
      </c>
      <c r="C42" s="11" t="s">
        <v>259</v>
      </c>
      <c r="E42" s="21">
        <v>182584.81</v>
      </c>
      <c r="F42" s="21">
        <v>0</v>
      </c>
      <c r="G42" s="21">
        <f t="shared" si="3"/>
        <v>182584.81</v>
      </c>
      <c r="H42" s="11">
        <v>0</v>
      </c>
      <c r="I42" s="11">
        <f t="shared" si="4"/>
        <v>182584.81</v>
      </c>
      <c r="J42" s="11">
        <v>0</v>
      </c>
    </row>
    <row r="43" spans="1:11">
      <c r="A43" s="58">
        <f>IF(ISNUMBER(G43),MAX(A$11:A42)+1, "")</f>
        <v>27</v>
      </c>
      <c r="B43" s="54">
        <v>572</v>
      </c>
      <c r="C43" s="11" t="s">
        <v>260</v>
      </c>
      <c r="E43" s="21">
        <v>0</v>
      </c>
      <c r="F43" s="21">
        <v>0</v>
      </c>
      <c r="G43" s="21">
        <f t="shared" si="3"/>
        <v>0</v>
      </c>
      <c r="H43" s="11">
        <v>0</v>
      </c>
      <c r="I43" s="11">
        <f t="shared" si="4"/>
        <v>0</v>
      </c>
      <c r="J43" s="11">
        <v>0</v>
      </c>
    </row>
    <row r="44" spans="1:11">
      <c r="A44" s="58">
        <f>IF(ISNUMBER(G44),MAX(A$11:A43)+1, "")</f>
        <v>28</v>
      </c>
      <c r="B44" s="54">
        <v>573</v>
      </c>
      <c r="C44" s="11" t="s">
        <v>261</v>
      </c>
      <c r="E44" s="21">
        <v>0</v>
      </c>
      <c r="F44" s="21">
        <v>0</v>
      </c>
      <c r="G44" s="21">
        <f t="shared" si="3"/>
        <v>0</v>
      </c>
      <c r="H44" s="11">
        <v>0</v>
      </c>
      <c r="I44" s="11">
        <f t="shared" si="4"/>
        <v>0</v>
      </c>
      <c r="J44" s="11">
        <v>0</v>
      </c>
    </row>
    <row r="45" spans="1:11">
      <c r="A45" s="58">
        <f>IF(ISNUMBER(G45),MAX(A$11:A44)+1, "")</f>
        <v>29</v>
      </c>
      <c r="B45" s="54">
        <v>574</v>
      </c>
      <c r="C45" s="11" t="s">
        <v>262</v>
      </c>
      <c r="E45" s="21">
        <v>0</v>
      </c>
      <c r="F45" s="21">
        <v>0</v>
      </c>
      <c r="G45" s="21">
        <f t="shared" si="3"/>
        <v>0</v>
      </c>
      <c r="H45" s="11">
        <v>0</v>
      </c>
      <c r="I45" s="11">
        <f t="shared" si="4"/>
        <v>0</v>
      </c>
      <c r="J45" s="11">
        <v>0</v>
      </c>
    </row>
    <row r="46" spans="1:11">
      <c r="A46" s="58">
        <f>IF(ISNUMBER(G46),MAX(A$11:A45)+1, "")</f>
        <v>30</v>
      </c>
      <c r="C46" s="61" t="s">
        <v>263</v>
      </c>
      <c r="D46" s="61"/>
      <c r="E46" s="20">
        <f>SUM(E31:E45)</f>
        <v>6679184.6999999993</v>
      </c>
      <c r="F46" s="20">
        <f>SUM(F31:F45)</f>
        <v>-581439</v>
      </c>
      <c r="G46" s="20">
        <f>SUM(G31:G45)</f>
        <v>6097745.6999999993</v>
      </c>
      <c r="H46" s="20">
        <f t="shared" ref="H46:J46" si="5">SUM(H31:H45)</f>
        <v>0</v>
      </c>
      <c r="I46" s="20">
        <f t="shared" si="5"/>
        <v>6097745.6999999993</v>
      </c>
      <c r="J46" s="20">
        <f t="shared" si="5"/>
        <v>0</v>
      </c>
    </row>
    <row r="47" spans="1:11">
      <c r="A47" s="58" t="str">
        <f>IF(ISNUMBER(G47),MAX(A$11:A46)+1, "")</f>
        <v/>
      </c>
      <c r="C47" s="61"/>
      <c r="D47" s="61"/>
      <c r="E47" s="62"/>
      <c r="F47" s="62"/>
      <c r="G47" s="62"/>
    </row>
    <row r="48" spans="1:11">
      <c r="A48" s="58" t="str">
        <f>IF(ISNUMBER(G48),MAX(A$11:A47)+1, "")</f>
        <v/>
      </c>
      <c r="C48" s="61"/>
      <c r="D48" s="61"/>
      <c r="E48" s="62"/>
      <c r="F48" s="62"/>
      <c r="G48" s="62"/>
    </row>
    <row r="49" spans="1:10">
      <c r="A49" s="58" t="str">
        <f>IF(ISNUMBER(G49),MAX(A$11:A48)+1, "")</f>
        <v/>
      </c>
      <c r="C49" s="138" t="s">
        <v>264</v>
      </c>
      <c r="D49" s="138"/>
      <c r="E49" s="21"/>
      <c r="F49" s="21"/>
      <c r="G49" s="21"/>
    </row>
    <row r="50" spans="1:10">
      <c r="A50" s="58">
        <f>IF(ISNUMBER(G50),MAX(A$11:A49)+1, "")</f>
        <v>31</v>
      </c>
      <c r="B50" s="54">
        <v>580</v>
      </c>
      <c r="C50" s="11" t="s">
        <v>265</v>
      </c>
      <c r="E50" s="21">
        <v>140617.35999999999</v>
      </c>
      <c r="F50" s="21">
        <v>0</v>
      </c>
      <c r="G50" s="21">
        <f t="shared" ref="G50:G63" si="6">E50+F50</f>
        <v>140617.35999999999</v>
      </c>
      <c r="H50" s="11">
        <v>0</v>
      </c>
      <c r="I50" s="11">
        <v>0</v>
      </c>
      <c r="J50" s="11">
        <f>G50</f>
        <v>140617.35999999999</v>
      </c>
    </row>
    <row r="51" spans="1:10">
      <c r="A51" s="58">
        <f>IF(ISNUMBER(G51),MAX(A$11:A50)+1, "")</f>
        <v>32</v>
      </c>
      <c r="B51" s="54">
        <v>581</v>
      </c>
      <c r="C51" s="11" t="s">
        <v>266</v>
      </c>
      <c r="E51" s="21">
        <v>1089.0899999999999</v>
      </c>
      <c r="F51" s="21">
        <v>0</v>
      </c>
      <c r="G51" s="21">
        <f t="shared" si="6"/>
        <v>1089.0899999999999</v>
      </c>
      <c r="H51" s="11">
        <v>0</v>
      </c>
      <c r="I51" s="11">
        <v>0</v>
      </c>
      <c r="J51" s="11">
        <f t="shared" ref="J51:J63" si="7">G51</f>
        <v>1089.0899999999999</v>
      </c>
    </row>
    <row r="52" spans="1:10">
      <c r="A52" s="58">
        <f>IF(ISNUMBER(G52),MAX(A$11:A51)+1, "")</f>
        <v>33</v>
      </c>
      <c r="B52" s="54">
        <v>582</v>
      </c>
      <c r="C52" s="11" t="s">
        <v>267</v>
      </c>
      <c r="E52" s="21">
        <v>235741.51</v>
      </c>
      <c r="F52" s="21">
        <v>0</v>
      </c>
      <c r="G52" s="21">
        <f t="shared" si="6"/>
        <v>235741.51</v>
      </c>
      <c r="H52" s="11">
        <v>0</v>
      </c>
      <c r="I52" s="11">
        <v>0</v>
      </c>
      <c r="J52" s="11">
        <f t="shared" si="7"/>
        <v>235741.51</v>
      </c>
    </row>
    <row r="53" spans="1:10">
      <c r="A53" s="58">
        <f>IF(ISNUMBER(G53),MAX(A$11:A52)+1, "")</f>
        <v>34</v>
      </c>
      <c r="B53" s="54">
        <v>583</v>
      </c>
      <c r="C53" s="11" t="s">
        <v>268</v>
      </c>
      <c r="E53" s="21">
        <v>13423.94</v>
      </c>
      <c r="F53" s="21">
        <v>0</v>
      </c>
      <c r="G53" s="21">
        <f t="shared" si="6"/>
        <v>13423.94</v>
      </c>
      <c r="H53" s="11">
        <v>0</v>
      </c>
      <c r="I53" s="11">
        <v>0</v>
      </c>
      <c r="J53" s="11">
        <f t="shared" si="7"/>
        <v>13423.94</v>
      </c>
    </row>
    <row r="54" spans="1:10">
      <c r="A54" s="58">
        <f>IF(ISNUMBER(G54),MAX(A$11:A53)+1, "")</f>
        <v>35</v>
      </c>
      <c r="B54" s="54">
        <v>584</v>
      </c>
      <c r="C54" s="11" t="s">
        <v>252</v>
      </c>
      <c r="E54" s="21">
        <v>12094.97</v>
      </c>
      <c r="F54" s="21">
        <v>0</v>
      </c>
      <c r="G54" s="21">
        <f t="shared" si="6"/>
        <v>12094.97</v>
      </c>
      <c r="H54" s="11">
        <v>0</v>
      </c>
      <c r="I54" s="11">
        <v>0</v>
      </c>
      <c r="J54" s="11">
        <f t="shared" si="7"/>
        <v>12094.97</v>
      </c>
    </row>
    <row r="55" spans="1:10">
      <c r="A55" s="58">
        <f>IF(ISNUMBER(G55),MAX(A$11:A54)+1, "")</f>
        <v>36</v>
      </c>
      <c r="B55" s="54">
        <v>586</v>
      </c>
      <c r="C55" s="11" t="s">
        <v>269</v>
      </c>
      <c r="E55" s="21">
        <v>0</v>
      </c>
      <c r="F55" s="21">
        <v>0</v>
      </c>
      <c r="G55" s="21">
        <f t="shared" si="6"/>
        <v>0</v>
      </c>
      <c r="H55" s="11">
        <v>0</v>
      </c>
      <c r="I55" s="11">
        <v>0</v>
      </c>
      <c r="J55" s="11">
        <f t="shared" si="7"/>
        <v>0</v>
      </c>
    </row>
    <row r="56" spans="1:10">
      <c r="A56" s="58">
        <f>IF(ISNUMBER(G56),MAX(A$11:A55)+1, "")</f>
        <v>37</v>
      </c>
      <c r="B56" s="54">
        <v>587</v>
      </c>
      <c r="C56" s="11" t="s">
        <v>270</v>
      </c>
      <c r="E56" s="21">
        <v>485547.4</v>
      </c>
      <c r="F56" s="21">
        <v>0</v>
      </c>
      <c r="G56" s="21">
        <f t="shared" si="6"/>
        <v>485547.4</v>
      </c>
      <c r="H56" s="11">
        <v>0</v>
      </c>
      <c r="I56" s="11">
        <v>0</v>
      </c>
      <c r="J56" s="11">
        <f t="shared" si="7"/>
        <v>485547.4</v>
      </c>
    </row>
    <row r="57" spans="1:10">
      <c r="A57" s="58">
        <f>IF(ISNUMBER(G57),MAX(A$11:A56)+1, "")</f>
        <v>38</v>
      </c>
      <c r="B57" s="54">
        <v>588</v>
      </c>
      <c r="C57" s="11" t="s">
        <v>271</v>
      </c>
      <c r="E57" s="21">
        <v>5275842.2299999995</v>
      </c>
      <c r="F57" s="21">
        <v>0</v>
      </c>
      <c r="G57" s="21">
        <f t="shared" si="6"/>
        <v>5275842.2299999995</v>
      </c>
      <c r="H57" s="11">
        <v>0</v>
      </c>
      <c r="I57" s="11">
        <v>0</v>
      </c>
      <c r="J57" s="11">
        <f t="shared" si="7"/>
        <v>5275842.2299999995</v>
      </c>
    </row>
    <row r="58" spans="1:10">
      <c r="A58" s="58">
        <f>IF(ISNUMBER(G58),MAX(A$11:A57)+1, "")</f>
        <v>39</v>
      </c>
      <c r="B58" s="54">
        <v>590</v>
      </c>
      <c r="C58" s="11" t="s">
        <v>256</v>
      </c>
      <c r="E58" s="21">
        <v>397709.2</v>
      </c>
      <c r="F58" s="21">
        <v>0</v>
      </c>
      <c r="G58" s="21">
        <f t="shared" si="6"/>
        <v>397709.2</v>
      </c>
      <c r="H58" s="11">
        <v>0</v>
      </c>
      <c r="I58" s="11">
        <v>0</v>
      </c>
      <c r="J58" s="11">
        <f t="shared" si="7"/>
        <v>397709.2</v>
      </c>
    </row>
    <row r="59" spans="1:10">
      <c r="A59" s="58">
        <f>IF(ISNUMBER(G59),MAX(A$11:A58)+1, "")</f>
        <v>40</v>
      </c>
      <c r="B59" s="54">
        <v>592</v>
      </c>
      <c r="C59" s="11" t="s">
        <v>272</v>
      </c>
      <c r="E59" s="21">
        <v>1526913.77</v>
      </c>
      <c r="F59" s="21">
        <v>0</v>
      </c>
      <c r="G59" s="21">
        <f t="shared" si="6"/>
        <v>1526913.77</v>
      </c>
      <c r="H59" s="11">
        <v>0</v>
      </c>
      <c r="I59" s="11">
        <v>0</v>
      </c>
      <c r="J59" s="11">
        <f t="shared" si="7"/>
        <v>1526913.77</v>
      </c>
    </row>
    <row r="60" spans="1:10">
      <c r="A60" s="58">
        <f>IF(ISNUMBER(G60),MAX(A$11:A59)+1, "")</f>
        <v>41</v>
      </c>
      <c r="B60" s="54">
        <v>593</v>
      </c>
      <c r="C60" s="11" t="s">
        <v>273</v>
      </c>
      <c r="E60" s="21">
        <v>3108276.64</v>
      </c>
      <c r="F60" s="21">
        <v>0</v>
      </c>
      <c r="G60" s="21">
        <f t="shared" si="6"/>
        <v>3108276.64</v>
      </c>
      <c r="H60" s="11">
        <v>0</v>
      </c>
      <c r="I60" s="11">
        <v>0</v>
      </c>
      <c r="J60" s="11">
        <f t="shared" si="7"/>
        <v>3108276.64</v>
      </c>
    </row>
    <row r="61" spans="1:10">
      <c r="A61" s="58">
        <f>IF(ISNUMBER(G61),MAX(A$11:A60)+1, "")</f>
        <v>42</v>
      </c>
      <c r="B61" s="54">
        <v>594</v>
      </c>
      <c r="C61" s="11" t="s">
        <v>274</v>
      </c>
      <c r="E61" s="21">
        <v>2086933.06</v>
      </c>
      <c r="F61" s="21">
        <v>0</v>
      </c>
      <c r="G61" s="21">
        <f t="shared" si="6"/>
        <v>2086933.06</v>
      </c>
      <c r="H61" s="11">
        <v>0</v>
      </c>
      <c r="I61" s="11">
        <v>0</v>
      </c>
      <c r="J61" s="11">
        <f t="shared" si="7"/>
        <v>2086933.06</v>
      </c>
    </row>
    <row r="62" spans="1:10">
      <c r="A62" s="58">
        <f>IF(ISNUMBER(G62),MAX(A$11:A61)+1, "")</f>
        <v>43</v>
      </c>
      <c r="B62" s="54">
        <v>596</v>
      </c>
      <c r="C62" s="11" t="s">
        <v>275</v>
      </c>
      <c r="E62" s="21">
        <v>146247.14000000001</v>
      </c>
      <c r="F62" s="21">
        <v>0</v>
      </c>
      <c r="G62" s="21">
        <f t="shared" si="6"/>
        <v>146247.14000000001</v>
      </c>
      <c r="H62" s="11">
        <v>0</v>
      </c>
      <c r="I62" s="11">
        <v>0</v>
      </c>
      <c r="J62" s="11">
        <f t="shared" si="7"/>
        <v>146247.14000000001</v>
      </c>
    </row>
    <row r="63" spans="1:10">
      <c r="A63" s="58">
        <f>IF(ISNUMBER(G63),MAX(A$11:A62)+1, "")</f>
        <v>44</v>
      </c>
      <c r="B63" s="54">
        <v>597</v>
      </c>
      <c r="C63" s="11" t="s">
        <v>276</v>
      </c>
      <c r="E63" s="21">
        <v>130785.9</v>
      </c>
      <c r="F63" s="21">
        <v>0</v>
      </c>
      <c r="G63" s="21">
        <f t="shared" si="6"/>
        <v>130785.9</v>
      </c>
      <c r="H63" s="11">
        <v>0</v>
      </c>
      <c r="I63" s="11">
        <v>0</v>
      </c>
      <c r="J63" s="11">
        <f t="shared" si="7"/>
        <v>130785.9</v>
      </c>
    </row>
    <row r="64" spans="1:10">
      <c r="A64" s="58">
        <f>IF(ISNUMBER(G64),MAX(A$11:A63)+1, "")</f>
        <v>45</v>
      </c>
      <c r="C64" s="61" t="s">
        <v>277</v>
      </c>
      <c r="D64" s="61"/>
      <c r="E64" s="20">
        <f>SUM(E50:E63)</f>
        <v>13561222.210000003</v>
      </c>
      <c r="F64" s="20">
        <f>SUM(F50:F63)</f>
        <v>0</v>
      </c>
      <c r="G64" s="20">
        <f>SUM(G50:G63)</f>
        <v>13561222.210000003</v>
      </c>
      <c r="H64" s="20">
        <f t="shared" ref="H64:J64" si="8">SUM(H50:H63)</f>
        <v>0</v>
      </c>
      <c r="I64" s="20">
        <f t="shared" si="8"/>
        <v>0</v>
      </c>
      <c r="J64" s="20">
        <f t="shared" si="8"/>
        <v>13561222.210000003</v>
      </c>
    </row>
    <row r="65" spans="1:11">
      <c r="A65" s="58" t="str">
        <f>IF(ISNUMBER(G65),MAX(A$11:A64)+1, "")</f>
        <v/>
      </c>
      <c r="C65" s="61"/>
      <c r="D65" s="61"/>
      <c r="E65" s="62"/>
      <c r="F65" s="62"/>
      <c r="G65" s="62"/>
    </row>
    <row r="66" spans="1:11">
      <c r="A66" s="58" t="str">
        <f>IF(ISNUMBER(G66),MAX(A$11:A65)+1, "")</f>
        <v/>
      </c>
      <c r="E66" s="21"/>
      <c r="F66" s="21"/>
      <c r="G66" s="21"/>
    </row>
    <row r="67" spans="1:11">
      <c r="A67" s="58" t="str">
        <f>IF(ISNUMBER(G67),MAX(A$11:A66)+1, "")</f>
        <v/>
      </c>
      <c r="C67" s="138" t="s">
        <v>278</v>
      </c>
      <c r="D67" s="138"/>
      <c r="E67" s="21"/>
      <c r="F67" s="21"/>
      <c r="G67" s="21"/>
    </row>
    <row r="68" spans="1:11">
      <c r="A68" s="58">
        <f>IF(ISNUMBER(G68),MAX(A$11:A67)+1, "")</f>
        <v>46</v>
      </c>
      <c r="B68" s="54">
        <v>901</v>
      </c>
      <c r="C68" s="63" t="s">
        <v>279</v>
      </c>
      <c r="D68" s="63"/>
      <c r="E68" s="21">
        <v>565041.68999999994</v>
      </c>
      <c r="F68" s="21">
        <v>0</v>
      </c>
      <c r="G68" s="21">
        <f>E68+F68</f>
        <v>565041.68999999994</v>
      </c>
      <c r="H68" s="11">
        <v>0</v>
      </c>
      <c r="I68" s="11">
        <v>0</v>
      </c>
      <c r="J68" s="11">
        <v>0</v>
      </c>
      <c r="K68" s="11" t="s">
        <v>232</v>
      </c>
    </row>
    <row r="69" spans="1:11">
      <c r="A69" s="58">
        <f>IF(ISNUMBER(G69),MAX(A$11:A68)+1, "")</f>
        <v>47</v>
      </c>
      <c r="B69" s="54">
        <v>902</v>
      </c>
      <c r="C69" s="11" t="s">
        <v>280</v>
      </c>
      <c r="E69" s="21">
        <v>829122.75</v>
      </c>
      <c r="F69" s="21">
        <v>0</v>
      </c>
      <c r="G69" s="21">
        <f t="shared" ref="G69:G114" si="9">E69+F69</f>
        <v>829122.75</v>
      </c>
      <c r="H69" s="11">
        <v>0</v>
      </c>
      <c r="I69" s="11">
        <v>0</v>
      </c>
      <c r="J69" s="11">
        <v>0</v>
      </c>
      <c r="K69" s="11" t="s">
        <v>232</v>
      </c>
    </row>
    <row r="70" spans="1:11">
      <c r="A70" s="58">
        <f>IF(ISNUMBER(G70),MAX(A$11:A69)+1, "")</f>
        <v>48</v>
      </c>
      <c r="B70" s="54">
        <v>903</v>
      </c>
      <c r="C70" s="11" t="s">
        <v>281</v>
      </c>
      <c r="E70" s="21">
        <v>2411399.0099999998</v>
      </c>
      <c r="F70" s="21">
        <v>0</v>
      </c>
      <c r="G70" s="21">
        <f t="shared" si="9"/>
        <v>2411399.0099999998</v>
      </c>
      <c r="H70" s="11">
        <v>0</v>
      </c>
      <c r="I70" s="11">
        <v>0</v>
      </c>
      <c r="J70" s="11">
        <v>0</v>
      </c>
      <c r="K70" s="11" t="s">
        <v>232</v>
      </c>
    </row>
    <row r="71" spans="1:11">
      <c r="A71" s="58">
        <f>IF(ISNUMBER(G71),MAX(A$11:A70)+1, "")</f>
        <v>49</v>
      </c>
      <c r="B71" s="54">
        <v>904</v>
      </c>
      <c r="C71" s="11" t="s">
        <v>282</v>
      </c>
      <c r="E71" s="21">
        <v>122513.88</v>
      </c>
      <c r="F71" s="21">
        <v>0</v>
      </c>
      <c r="G71" s="21">
        <f t="shared" si="9"/>
        <v>122513.88</v>
      </c>
      <c r="H71" s="11">
        <v>0</v>
      </c>
      <c r="I71" s="11">
        <v>0</v>
      </c>
      <c r="J71" s="11">
        <v>0</v>
      </c>
      <c r="K71" s="11" t="s">
        <v>232</v>
      </c>
    </row>
    <row r="72" spans="1:11">
      <c r="A72" s="58">
        <f>IF(ISNUMBER(G72),MAX(A$11:A71)+1, "")</f>
        <v>50</v>
      </c>
      <c r="B72" s="54">
        <v>905</v>
      </c>
      <c r="C72" s="11" t="s">
        <v>283</v>
      </c>
      <c r="E72" s="21">
        <v>0</v>
      </c>
      <c r="F72" s="21">
        <v>0</v>
      </c>
      <c r="G72" s="21">
        <f t="shared" si="9"/>
        <v>0</v>
      </c>
      <c r="H72" s="11">
        <v>0</v>
      </c>
      <c r="I72" s="11">
        <v>0</v>
      </c>
      <c r="J72" s="11">
        <v>0</v>
      </c>
      <c r="K72" s="11" t="s">
        <v>232</v>
      </c>
    </row>
    <row r="73" spans="1:11">
      <c r="A73" s="58">
        <f>IF(ISNUMBER(G73),MAX(A$11:A72)+1, "")</f>
        <v>51</v>
      </c>
      <c r="C73" s="61" t="s">
        <v>284</v>
      </c>
      <c r="D73" s="61"/>
      <c r="E73" s="64">
        <f t="shared" ref="E73:J73" si="10">SUM(E68:E72)</f>
        <v>3928077.3299999996</v>
      </c>
      <c r="F73" s="64">
        <f t="shared" si="10"/>
        <v>0</v>
      </c>
      <c r="G73" s="64">
        <f t="shared" si="10"/>
        <v>3928077.3299999996</v>
      </c>
      <c r="H73" s="64">
        <f t="shared" si="10"/>
        <v>0</v>
      </c>
      <c r="I73" s="64">
        <f t="shared" si="10"/>
        <v>0</v>
      </c>
      <c r="J73" s="64">
        <f t="shared" si="10"/>
        <v>0</v>
      </c>
      <c r="K73" s="11" t="s">
        <v>232</v>
      </c>
    </row>
    <row r="74" spans="1:11">
      <c r="A74" s="58" t="str">
        <f>IF(ISNUMBER(G74),MAX(A$11:A73)+1, "")</f>
        <v/>
      </c>
    </row>
    <row r="75" spans="1:11">
      <c r="A75" s="58" t="str">
        <f>IF(ISNUMBER(G75),MAX(A$11:A74)+1, "")</f>
        <v/>
      </c>
    </row>
    <row r="76" spans="1:11">
      <c r="A76" s="58"/>
    </row>
    <row r="77" spans="1:11">
      <c r="A77" s="58" t="str">
        <f>IF(ISNUMBER(G77),MAX(A$11:A75)+1, "")</f>
        <v/>
      </c>
      <c r="C77" s="70" t="s">
        <v>285</v>
      </c>
      <c r="D77" s="70"/>
    </row>
    <row r="78" spans="1:11">
      <c r="A78" s="58">
        <f>IF(ISNUMBER(G78),MAX(A$11:A77)+1, "")</f>
        <v>52</v>
      </c>
      <c r="B78" s="54">
        <v>906</v>
      </c>
      <c r="C78" s="63" t="s">
        <v>286</v>
      </c>
      <c r="D78" s="63"/>
      <c r="E78" s="21">
        <v>1282173.01</v>
      </c>
      <c r="F78" s="21">
        <v>0</v>
      </c>
      <c r="G78" s="21">
        <f t="shared" si="9"/>
        <v>1282173.01</v>
      </c>
      <c r="H78" s="11">
        <v>0</v>
      </c>
      <c r="I78" s="11">
        <v>0</v>
      </c>
      <c r="J78" s="11">
        <v>0</v>
      </c>
      <c r="K78" s="11" t="s">
        <v>232</v>
      </c>
    </row>
    <row r="79" spans="1:11">
      <c r="A79" s="58">
        <f>IF(ISNUMBER(G79),MAX(A$11:A78)+1, "")</f>
        <v>53</v>
      </c>
      <c r="B79" s="54">
        <v>907</v>
      </c>
      <c r="C79" s="63" t="s">
        <v>279</v>
      </c>
      <c r="D79" s="63"/>
      <c r="E79" s="21">
        <v>0</v>
      </c>
      <c r="F79" s="21">
        <v>0</v>
      </c>
      <c r="G79" s="21">
        <f t="shared" si="9"/>
        <v>0</v>
      </c>
      <c r="H79" s="11">
        <v>0</v>
      </c>
      <c r="I79" s="11">
        <v>0</v>
      </c>
      <c r="J79" s="11">
        <v>0</v>
      </c>
      <c r="K79" s="11" t="s">
        <v>232</v>
      </c>
    </row>
    <row r="80" spans="1:11">
      <c r="A80" s="58">
        <f>IF(ISNUMBER(G80),MAX(A$11:A79)+1, "")</f>
        <v>54</v>
      </c>
      <c r="B80" s="54">
        <v>908</v>
      </c>
      <c r="C80" s="63" t="s">
        <v>287</v>
      </c>
      <c r="D80" s="63"/>
      <c r="E80" s="21">
        <v>554390.07999999996</v>
      </c>
      <c r="F80" s="21">
        <v>0</v>
      </c>
      <c r="G80" s="21">
        <f t="shared" si="9"/>
        <v>554390.07999999996</v>
      </c>
      <c r="H80" s="11">
        <v>0</v>
      </c>
      <c r="I80" s="11">
        <v>0</v>
      </c>
      <c r="J80" s="11">
        <v>0</v>
      </c>
      <c r="K80" s="11" t="s">
        <v>232</v>
      </c>
    </row>
    <row r="81" spans="1:11">
      <c r="A81" s="58">
        <f>IF(ISNUMBER(G81),MAX(A$11:A80)+1, "")</f>
        <v>55</v>
      </c>
      <c r="B81" s="54">
        <v>909</v>
      </c>
      <c r="C81" s="63" t="s">
        <v>288</v>
      </c>
      <c r="D81" s="63"/>
      <c r="E81" s="21">
        <v>0</v>
      </c>
      <c r="F81" s="21">
        <v>0</v>
      </c>
      <c r="G81" s="21">
        <f t="shared" si="9"/>
        <v>0</v>
      </c>
      <c r="H81" s="11">
        <v>0</v>
      </c>
      <c r="I81" s="11">
        <v>0</v>
      </c>
      <c r="J81" s="11">
        <v>0</v>
      </c>
      <c r="K81" s="11" t="s">
        <v>232</v>
      </c>
    </row>
    <row r="82" spans="1:11">
      <c r="A82" s="58">
        <f>IF(ISNUMBER(G82),MAX(A$11:A81)+1, "")</f>
        <v>56</v>
      </c>
      <c r="B82" s="54">
        <v>910</v>
      </c>
      <c r="C82" s="63" t="s">
        <v>289</v>
      </c>
      <c r="D82" s="63"/>
      <c r="E82" s="21">
        <v>1470.05</v>
      </c>
      <c r="F82" s="21">
        <v>0</v>
      </c>
      <c r="G82" s="21">
        <f t="shared" si="9"/>
        <v>1470.05</v>
      </c>
      <c r="H82" s="11">
        <v>0</v>
      </c>
      <c r="I82" s="11">
        <v>0</v>
      </c>
      <c r="J82" s="11">
        <v>0</v>
      </c>
      <c r="K82" s="11" t="s">
        <v>232</v>
      </c>
    </row>
    <row r="83" spans="1:11">
      <c r="A83" s="58">
        <f>IF(ISNUMBER(G83),MAX(A$11:A82)+1, "")</f>
        <v>57</v>
      </c>
      <c r="C83" s="61" t="s">
        <v>290</v>
      </c>
      <c r="D83" s="61"/>
      <c r="E83" s="64">
        <f>SUM(E78:E82)</f>
        <v>1838033.14</v>
      </c>
      <c r="F83" s="64">
        <f>SUM(F78:F82)</f>
        <v>0</v>
      </c>
      <c r="G83" s="64">
        <f>SUM(G78:G82)</f>
        <v>1838033.14</v>
      </c>
      <c r="H83" s="64">
        <f t="shared" ref="H83:J83" si="11">SUM(H78:H82)</f>
        <v>0</v>
      </c>
      <c r="I83" s="64">
        <f t="shared" si="11"/>
        <v>0</v>
      </c>
      <c r="J83" s="64">
        <f t="shared" si="11"/>
        <v>0</v>
      </c>
    </row>
    <row r="84" spans="1:11">
      <c r="A84" s="58" t="str">
        <f>IF(ISNUMBER(G84),MAX(A$11:A83)+1, "")</f>
        <v/>
      </c>
    </row>
    <row r="85" spans="1:11">
      <c r="A85" s="58" t="str">
        <f>IF(ISNUMBER(G85),MAX(A$11:A84)+1, "")</f>
        <v/>
      </c>
    </row>
    <row r="86" spans="1:11">
      <c r="A86" s="58" t="str">
        <f>IF(ISNUMBER(G86),MAX(A$11:A85)+1, "")</f>
        <v/>
      </c>
      <c r="C86" s="138" t="s">
        <v>291</v>
      </c>
      <c r="D86" s="138"/>
    </row>
    <row r="87" spans="1:11">
      <c r="A87" s="58">
        <f>IF(ISNUMBER(G87),MAX(A$11:A86)+1, "")</f>
        <v>58</v>
      </c>
      <c r="B87" s="54" t="s">
        <v>292</v>
      </c>
      <c r="C87" s="11" t="s">
        <v>236</v>
      </c>
      <c r="E87" s="21">
        <v>0</v>
      </c>
      <c r="F87" s="21">
        <v>2605567.9500000002</v>
      </c>
      <c r="G87" s="21">
        <f t="shared" ref="G87:G89" si="12">E87+F87</f>
        <v>2605567.9500000002</v>
      </c>
      <c r="H87" s="11">
        <v>0</v>
      </c>
      <c r="I87" s="11">
        <v>0</v>
      </c>
      <c r="J87" s="11">
        <v>0</v>
      </c>
      <c r="K87" s="11" t="s">
        <v>293</v>
      </c>
    </row>
    <row r="88" spans="1:11">
      <c r="A88" s="58">
        <f>IF(ISNUMBER(G88),MAX(A$11:A87)+1, "")</f>
        <v>59</v>
      </c>
      <c r="B88" s="54" t="s">
        <v>294</v>
      </c>
      <c r="C88" s="11" t="s">
        <v>243</v>
      </c>
      <c r="E88" s="21">
        <v>0</v>
      </c>
      <c r="F88" s="21">
        <v>16204119.65</v>
      </c>
      <c r="G88" s="21">
        <f t="shared" si="12"/>
        <v>16204119.65</v>
      </c>
      <c r="H88" s="11">
        <v>0</v>
      </c>
      <c r="I88" s="11">
        <v>0</v>
      </c>
      <c r="J88" s="11">
        <v>0</v>
      </c>
      <c r="K88" s="11" t="s">
        <v>295</v>
      </c>
    </row>
    <row r="89" spans="1:11">
      <c r="A89" s="58">
        <f>IF(ISNUMBER(G89),MAX(A$11:A88)+1, "")</f>
        <v>60</v>
      </c>
      <c r="B89" s="54" t="s">
        <v>296</v>
      </c>
      <c r="C89" s="11" t="s">
        <v>297</v>
      </c>
      <c r="E89" s="21">
        <v>0</v>
      </c>
      <c r="F89" s="21">
        <v>1135678.06</v>
      </c>
      <c r="G89" s="21">
        <f t="shared" si="12"/>
        <v>1135678.06</v>
      </c>
      <c r="H89" s="11">
        <v>0</v>
      </c>
      <c r="I89" s="11">
        <v>0</v>
      </c>
      <c r="J89" s="11">
        <v>0</v>
      </c>
      <c r="K89" s="11" t="s">
        <v>298</v>
      </c>
    </row>
    <row r="90" spans="1:11">
      <c r="A90" s="58">
        <f>IF(ISNUMBER(G90),MAX(A$11:A89)+1, "")</f>
        <v>61</v>
      </c>
      <c r="C90" s="61" t="s">
        <v>299</v>
      </c>
      <c r="D90" s="61"/>
      <c r="E90" s="64">
        <f>SUM(E87:E89)</f>
        <v>0</v>
      </c>
      <c r="F90" s="64">
        <f>SUM(F87:F89)</f>
        <v>19945365.66</v>
      </c>
      <c r="G90" s="64">
        <f>SUM(G87:G89)</f>
        <v>19945365.66</v>
      </c>
      <c r="H90" s="64">
        <f t="shared" ref="H90:J90" si="13">SUM(H87:H89)</f>
        <v>0</v>
      </c>
      <c r="I90" s="64">
        <f t="shared" si="13"/>
        <v>0</v>
      </c>
      <c r="J90" s="64">
        <f t="shared" si="13"/>
        <v>0</v>
      </c>
    </row>
    <row r="91" spans="1:11">
      <c r="A91" s="58" t="str">
        <f>IF(ISNUMBER(G91),MAX(A$11:A90)+1, "")</f>
        <v/>
      </c>
    </row>
    <row r="92" spans="1:11">
      <c r="A92" s="58" t="str">
        <f>IF(ISNUMBER(G92),MAX(A$11:A91)+1, "")</f>
        <v/>
      </c>
    </row>
    <row r="93" spans="1:11">
      <c r="A93" s="58" t="str">
        <f>IF(ISNUMBER(G93),MAX(A$11:A92)+1, "")</f>
        <v/>
      </c>
      <c r="C93" s="138" t="s">
        <v>300</v>
      </c>
      <c r="D93" s="138"/>
    </row>
    <row r="94" spans="1:11">
      <c r="A94" s="58">
        <f>IF(ISNUMBER(G94),MAX(A$11:A93)+1, "")</f>
        <v>62</v>
      </c>
      <c r="B94" s="54" t="s">
        <v>301</v>
      </c>
      <c r="C94" s="11" t="s">
        <v>302</v>
      </c>
      <c r="E94" s="21">
        <v>0</v>
      </c>
      <c r="F94" s="21">
        <v>1733337.8299999998</v>
      </c>
      <c r="G94" s="21">
        <f t="shared" ref="G94:G95" si="14">E94+F94</f>
        <v>1733337.8299999998</v>
      </c>
      <c r="H94" s="11">
        <v>0</v>
      </c>
      <c r="I94" s="11">
        <v>0</v>
      </c>
      <c r="J94" s="11">
        <v>0</v>
      </c>
      <c r="K94" s="11" t="s">
        <v>303</v>
      </c>
    </row>
    <row r="95" spans="1:11">
      <c r="A95" s="58">
        <f>IF(ISNUMBER(G95),MAX(A$11:A94)+1, "")</f>
        <v>63</v>
      </c>
      <c r="B95" s="54" t="s">
        <v>304</v>
      </c>
      <c r="E95" s="21">
        <v>0</v>
      </c>
      <c r="F95" s="21">
        <v>531855.42000000004</v>
      </c>
      <c r="G95" s="21">
        <f t="shared" si="14"/>
        <v>531855.42000000004</v>
      </c>
      <c r="H95" s="11">
        <v>0</v>
      </c>
      <c r="I95" s="11">
        <v>0</v>
      </c>
      <c r="J95" s="11">
        <v>0</v>
      </c>
      <c r="K95" s="11" t="s">
        <v>305</v>
      </c>
    </row>
    <row r="96" spans="1:11">
      <c r="A96" s="58">
        <f>IF(ISNUMBER(G96),MAX(A$11:A95)+1, "")</f>
        <v>64</v>
      </c>
      <c r="C96" s="61" t="s">
        <v>306</v>
      </c>
      <c r="D96" s="61"/>
      <c r="E96" s="64">
        <f>SUM(E94:E95)</f>
        <v>0</v>
      </c>
      <c r="F96" s="64">
        <f>SUM(F94:F95)</f>
        <v>2265193.25</v>
      </c>
      <c r="G96" s="64">
        <f>SUM(G94:G95)</f>
        <v>2265193.25</v>
      </c>
      <c r="H96" s="64">
        <f t="shared" ref="H96:J96" si="15">SUM(H94:H95)</f>
        <v>0</v>
      </c>
      <c r="I96" s="64">
        <f t="shared" si="15"/>
        <v>0</v>
      </c>
      <c r="J96" s="64">
        <f t="shared" si="15"/>
        <v>0</v>
      </c>
    </row>
    <row r="97" spans="1:11">
      <c r="A97" s="58" t="str">
        <f>IF(ISNUMBER(G97),MAX(A$11:A96)+1, "")</f>
        <v/>
      </c>
    </row>
    <row r="98" spans="1:11">
      <c r="A98" s="58" t="str">
        <f>IF(ISNUMBER(G98),MAX(A$11:A97)+1, "")</f>
        <v/>
      </c>
    </row>
    <row r="99" spans="1:11">
      <c r="A99" s="58" t="str">
        <f>IF(ISNUMBER(G99),MAX(A$11:A98)+1, "")</f>
        <v/>
      </c>
      <c r="C99" s="138" t="s">
        <v>307</v>
      </c>
      <c r="D99" s="138"/>
    </row>
    <row r="100" spans="1:11">
      <c r="A100" s="58">
        <f>IF(ISNUMBER(G100),MAX(A$11:A99)+1, "")</f>
        <v>65</v>
      </c>
      <c r="B100" s="54">
        <v>920</v>
      </c>
      <c r="C100" s="11" t="s">
        <v>308</v>
      </c>
      <c r="D100" s="30" t="s">
        <v>309</v>
      </c>
      <c r="E100" s="21">
        <v>1756282.6600000001</v>
      </c>
      <c r="F100" s="21">
        <v>0</v>
      </c>
      <c r="G100" s="21">
        <f t="shared" si="9"/>
        <v>1756282.6600000001</v>
      </c>
      <c r="H100" s="11">
        <f>ROUND(G100*$F$126,0)</f>
        <v>1098245</v>
      </c>
      <c r="I100" s="11">
        <f>ROUND(G100*$E$124,0)</f>
        <v>259996</v>
      </c>
      <c r="J100" s="11">
        <f>ROUND(G100*$E$125,0)</f>
        <v>398041</v>
      </c>
    </row>
    <row r="101" spans="1:11">
      <c r="A101" s="58">
        <f>IF(ISNUMBER(G101),MAX(A$11:A100)+1, "")</f>
        <v>66</v>
      </c>
      <c r="B101" s="54">
        <v>921</v>
      </c>
      <c r="C101" s="11" t="s">
        <v>310</v>
      </c>
      <c r="D101" s="30" t="s">
        <v>309</v>
      </c>
      <c r="E101" s="21">
        <v>20884610.59</v>
      </c>
      <c r="F101" s="21">
        <v>0</v>
      </c>
      <c r="G101" s="21">
        <f t="shared" si="9"/>
        <v>20884610.59</v>
      </c>
      <c r="H101" s="11">
        <f>ROUND(G101*$F$126,0)</f>
        <v>13059646</v>
      </c>
      <c r="I101" s="11">
        <f>ROUND(G101*$E$124,0)</f>
        <v>3091709</v>
      </c>
      <c r="J101" s="11">
        <f>ROUND(G101*$E$125,0)</f>
        <v>4733256</v>
      </c>
    </row>
    <row r="102" spans="1:11">
      <c r="A102" s="58">
        <f>IF(ISNUMBER(G102),MAX(A$11:A101)+1, "")</f>
        <v>67</v>
      </c>
      <c r="B102" s="54">
        <v>922</v>
      </c>
      <c r="C102" s="11" t="s">
        <v>311</v>
      </c>
      <c r="D102" s="30"/>
      <c r="E102" s="21">
        <v>0</v>
      </c>
      <c r="F102" s="21">
        <v>0</v>
      </c>
      <c r="G102" s="21">
        <f t="shared" si="9"/>
        <v>0</v>
      </c>
      <c r="H102" s="11">
        <f>ROUND(G102*$F$126,0)</f>
        <v>0</v>
      </c>
      <c r="I102" s="11">
        <f>ROUND(G102*$E$124,0)</f>
        <v>0</v>
      </c>
      <c r="J102" s="11">
        <f>ROUND(G102*$E$125,0)</f>
        <v>0</v>
      </c>
    </row>
    <row r="103" spans="1:11">
      <c r="A103" s="58">
        <f>IF(ISNUMBER(G103),MAX(A$11:A102)+1, "")</f>
        <v>68</v>
      </c>
      <c r="B103" s="54">
        <v>923</v>
      </c>
      <c r="C103" s="11" t="s">
        <v>312</v>
      </c>
      <c r="D103" s="30" t="s">
        <v>309</v>
      </c>
      <c r="E103" s="21">
        <v>2009100.71</v>
      </c>
      <c r="F103" s="21">
        <v>0</v>
      </c>
      <c r="G103" s="21">
        <f t="shared" si="9"/>
        <v>2009100.71</v>
      </c>
      <c r="H103" s="11">
        <f>ROUND(G103*$F$126,0)</f>
        <v>1256339</v>
      </c>
      <c r="I103" s="11">
        <f>ROUND(G103*$E$124,0)</f>
        <v>297423</v>
      </c>
      <c r="J103" s="11">
        <f>ROUND(G103*$E$125,0)</f>
        <v>455340</v>
      </c>
    </row>
    <row r="104" spans="1:11">
      <c r="A104" s="58">
        <f>IF(ISNUMBER(G104),MAX(A$11:A103)+1, "")</f>
        <v>69</v>
      </c>
      <c r="B104" s="54">
        <v>924</v>
      </c>
      <c r="C104" s="11" t="s">
        <v>313</v>
      </c>
      <c r="D104" s="30" t="s">
        <v>314</v>
      </c>
      <c r="E104" s="21">
        <v>1076543.73</v>
      </c>
      <c r="F104" s="21">
        <v>0</v>
      </c>
      <c r="G104" s="21">
        <f t="shared" si="9"/>
        <v>1076543.73</v>
      </c>
      <c r="H104" s="11">
        <f>ROUND(G104*$G$130,0)</f>
        <v>819250</v>
      </c>
      <c r="I104" s="11">
        <f>ROUND(G104*$G$131,0)</f>
        <v>67499</v>
      </c>
      <c r="J104" s="11">
        <f>ROUND(G104*$G$132,0)</f>
        <v>189795</v>
      </c>
    </row>
    <row r="105" spans="1:11">
      <c r="A105" s="58">
        <f>IF(ISNUMBER(G105),MAX(A$11:A104)+1, "")</f>
        <v>70</v>
      </c>
      <c r="B105" s="54">
        <v>925</v>
      </c>
      <c r="C105" s="11" t="s">
        <v>315</v>
      </c>
      <c r="D105" s="30" t="s">
        <v>309</v>
      </c>
      <c r="E105" s="21">
        <v>3823007.9499999997</v>
      </c>
      <c r="F105" s="21">
        <v>0</v>
      </c>
      <c r="G105" s="21">
        <f t="shared" si="9"/>
        <v>3823007.9499999997</v>
      </c>
      <c r="H105" s="11">
        <f t="shared" ref="H105:H114" si="16">ROUND(G105*$F$126,0)</f>
        <v>2390618</v>
      </c>
      <c r="I105" s="11">
        <f t="shared" ref="I105:I114" si="17">ROUND(G105*$E$124,0)</f>
        <v>565949</v>
      </c>
      <c r="J105" s="11">
        <f t="shared" ref="J105:J114" si="18">ROUND(G105*$E$125,0)</f>
        <v>866441</v>
      </c>
    </row>
    <row r="106" spans="1:11">
      <c r="A106" s="58">
        <f>IF(ISNUMBER(G106),MAX(A$11:A105)+1, "")</f>
        <v>71</v>
      </c>
      <c r="B106" s="54">
        <v>926</v>
      </c>
      <c r="C106" s="11" t="s">
        <v>316</v>
      </c>
      <c r="D106" s="30" t="s">
        <v>309</v>
      </c>
      <c r="E106" s="21">
        <v>-5815610.6699999999</v>
      </c>
      <c r="F106" s="21">
        <v>0</v>
      </c>
      <c r="G106" s="21">
        <f t="shared" si="9"/>
        <v>-5815610.6699999999</v>
      </c>
      <c r="H106" s="11">
        <f t="shared" si="16"/>
        <v>-3636640</v>
      </c>
      <c r="I106" s="11">
        <f t="shared" si="17"/>
        <v>-860929</v>
      </c>
      <c r="J106" s="11">
        <f t="shared" si="18"/>
        <v>-1318041</v>
      </c>
    </row>
    <row r="107" spans="1:11">
      <c r="A107" s="58">
        <f>IF(ISNUMBER(G107),MAX(A$11:A106)+1, "")</f>
        <v>72</v>
      </c>
      <c r="B107" s="54">
        <v>927</v>
      </c>
      <c r="C107" s="11" t="s">
        <v>317</v>
      </c>
      <c r="D107" s="30"/>
      <c r="E107" s="21">
        <v>0</v>
      </c>
      <c r="F107" s="21">
        <v>0</v>
      </c>
      <c r="G107" s="21">
        <f t="shared" si="9"/>
        <v>0</v>
      </c>
      <c r="H107" s="11">
        <f t="shared" si="16"/>
        <v>0</v>
      </c>
      <c r="I107" s="11">
        <f t="shared" si="17"/>
        <v>0</v>
      </c>
      <c r="J107" s="11">
        <f t="shared" si="18"/>
        <v>0</v>
      </c>
    </row>
    <row r="108" spans="1:11">
      <c r="A108" s="58">
        <f>IF(ISNUMBER(G108),MAX(A$11:A107)+1, "")</f>
        <v>73</v>
      </c>
      <c r="B108" s="54">
        <v>928</v>
      </c>
      <c r="C108" s="11" t="s">
        <v>297</v>
      </c>
      <c r="D108" s="30" t="s">
        <v>309</v>
      </c>
      <c r="E108" s="21">
        <v>2961405.73</v>
      </c>
      <c r="F108" s="21">
        <v>-1135678.06</v>
      </c>
      <c r="G108" s="21">
        <f t="shared" si="9"/>
        <v>1825727.67</v>
      </c>
      <c r="H108" s="11">
        <f t="shared" si="16"/>
        <v>1141671</v>
      </c>
      <c r="I108" s="11">
        <f t="shared" si="17"/>
        <v>270276</v>
      </c>
      <c r="J108" s="11">
        <f t="shared" si="18"/>
        <v>413780</v>
      </c>
      <c r="K108" s="11" t="s">
        <v>318</v>
      </c>
    </row>
    <row r="109" spans="1:11">
      <c r="A109" s="58">
        <f>IF(ISNUMBER(G109),MAX(A$11:A108)+1, "")</f>
        <v>74</v>
      </c>
      <c r="B109" s="54">
        <v>929</v>
      </c>
      <c r="C109" s="11" t="s">
        <v>319</v>
      </c>
      <c r="D109" s="30" t="s">
        <v>309</v>
      </c>
      <c r="E109" s="21">
        <v>-6370151.1899999995</v>
      </c>
      <c r="F109" s="21">
        <v>0</v>
      </c>
      <c r="G109" s="21">
        <f t="shared" si="9"/>
        <v>-6370151.1899999995</v>
      </c>
      <c r="H109" s="11">
        <f t="shared" si="16"/>
        <v>-3983408</v>
      </c>
      <c r="I109" s="11">
        <f t="shared" si="17"/>
        <v>-943022</v>
      </c>
      <c r="J109" s="11">
        <f t="shared" si="18"/>
        <v>-1443721</v>
      </c>
    </row>
    <row r="110" spans="1:11">
      <c r="A110" s="58">
        <f>IF(ISNUMBER(G110),MAX(A$11:A109)+1, "")</f>
        <v>75</v>
      </c>
      <c r="B110" s="54">
        <v>930.1</v>
      </c>
      <c r="C110" s="11" t="s">
        <v>320</v>
      </c>
      <c r="D110" s="30" t="s">
        <v>309</v>
      </c>
      <c r="E110" s="21">
        <v>1285999.49</v>
      </c>
      <c r="F110" s="21">
        <v>-1285999.49</v>
      </c>
      <c r="G110" s="21">
        <f t="shared" si="9"/>
        <v>0</v>
      </c>
      <c r="H110" s="11">
        <f t="shared" si="16"/>
        <v>0</v>
      </c>
      <c r="I110" s="11">
        <f t="shared" si="17"/>
        <v>0</v>
      </c>
      <c r="J110" s="11">
        <f t="shared" si="18"/>
        <v>0</v>
      </c>
      <c r="K110" s="11" t="s">
        <v>321</v>
      </c>
    </row>
    <row r="111" spans="1:11">
      <c r="A111" s="58">
        <f>IF(ISNUMBER(G111),MAX(A$11:A110)+1, "")</f>
        <v>76</v>
      </c>
      <c r="B111" s="54">
        <v>930.2</v>
      </c>
      <c r="C111" s="11" t="s">
        <v>322</v>
      </c>
      <c r="D111" s="30" t="s">
        <v>309</v>
      </c>
      <c r="E111" s="21">
        <v>3453623.4699999997</v>
      </c>
      <c r="F111" s="21">
        <v>-531855.42000000004</v>
      </c>
      <c r="G111" s="21">
        <f t="shared" si="9"/>
        <v>2921768.05</v>
      </c>
      <c r="H111" s="11">
        <f t="shared" si="16"/>
        <v>1827051</v>
      </c>
      <c r="I111" s="11">
        <f t="shared" si="17"/>
        <v>432532</v>
      </c>
      <c r="J111" s="11">
        <f t="shared" si="18"/>
        <v>662185</v>
      </c>
      <c r="K111" s="11" t="s">
        <v>323</v>
      </c>
    </row>
    <row r="112" spans="1:11">
      <c r="A112" s="58">
        <f>IF(ISNUMBER(G112),MAX(A$11:A111)+1, "")</f>
        <v>77</v>
      </c>
      <c r="B112" s="54">
        <v>931</v>
      </c>
      <c r="C112" s="11" t="s">
        <v>255</v>
      </c>
      <c r="D112" s="30"/>
      <c r="E112" s="21">
        <v>198972.71000000002</v>
      </c>
      <c r="F112" s="21">
        <v>0</v>
      </c>
      <c r="G112" s="21">
        <f t="shared" si="9"/>
        <v>198972.71000000002</v>
      </c>
      <c r="H112" s="11">
        <f t="shared" si="16"/>
        <v>124422</v>
      </c>
      <c r="I112" s="11">
        <f t="shared" si="17"/>
        <v>29455</v>
      </c>
      <c r="J112" s="11">
        <f t="shared" si="18"/>
        <v>45095</v>
      </c>
    </row>
    <row r="113" spans="1:12">
      <c r="A113" s="58">
        <f>IF(ISNUMBER(G113),MAX(A$11:A112)+1, "")</f>
        <v>78</v>
      </c>
      <c r="B113" s="54">
        <v>933</v>
      </c>
      <c r="C113" s="11" t="s">
        <v>324</v>
      </c>
      <c r="E113" s="21">
        <v>0</v>
      </c>
      <c r="F113" s="21">
        <v>0</v>
      </c>
      <c r="G113" s="21">
        <f t="shared" si="9"/>
        <v>0</v>
      </c>
      <c r="H113" s="11">
        <f t="shared" si="16"/>
        <v>0</v>
      </c>
      <c r="I113" s="11">
        <f t="shared" si="17"/>
        <v>0</v>
      </c>
      <c r="J113" s="11">
        <f t="shared" si="18"/>
        <v>0</v>
      </c>
    </row>
    <row r="114" spans="1:12">
      <c r="A114" s="58">
        <f>IF(ISNUMBER(G114),MAX(A$11:A113)+1, "")</f>
        <v>79</v>
      </c>
      <c r="B114" s="54">
        <v>935</v>
      </c>
      <c r="C114" s="11" t="s">
        <v>302</v>
      </c>
      <c r="D114" s="30" t="s">
        <v>309</v>
      </c>
      <c r="E114" s="21">
        <v>11520071.52</v>
      </c>
      <c r="F114" s="21">
        <f>-1733337.83-482278</f>
        <v>-2215615.83</v>
      </c>
      <c r="G114" s="21">
        <f t="shared" si="9"/>
        <v>9304455.6899999995</v>
      </c>
      <c r="H114" s="11">
        <f t="shared" si="16"/>
        <v>5818298</v>
      </c>
      <c r="I114" s="11">
        <f t="shared" si="17"/>
        <v>1377410</v>
      </c>
      <c r="J114" s="11">
        <f t="shared" si="18"/>
        <v>2108748</v>
      </c>
      <c r="K114" s="11" t="s">
        <v>325</v>
      </c>
      <c r="L114"/>
    </row>
    <row r="115" spans="1:12">
      <c r="A115" s="58">
        <f>IF(ISNUMBER(G115),MAX(A$11:A114)+1, "")</f>
        <v>80</v>
      </c>
      <c r="C115" s="61" t="s">
        <v>326</v>
      </c>
      <c r="D115" s="61"/>
      <c r="E115" s="23">
        <f>SUM(E100:E114)</f>
        <v>36783856.699999996</v>
      </c>
      <c r="F115" s="23">
        <f>SUM(F100:F114)</f>
        <v>-5169148.8</v>
      </c>
      <c r="G115" s="23">
        <f>SUM(G100:G114)</f>
        <v>31614707.900000006</v>
      </c>
      <c r="H115" s="23">
        <f t="shared" ref="H115:J115" si="19">SUM(H100:H114)</f>
        <v>19915492</v>
      </c>
      <c r="I115" s="23">
        <f t="shared" si="19"/>
        <v>4588298</v>
      </c>
      <c r="J115" s="23">
        <f t="shared" si="19"/>
        <v>7110919</v>
      </c>
      <c r="L115"/>
    </row>
    <row r="116" spans="1:12">
      <c r="A116" s="58"/>
      <c r="C116" s="61"/>
      <c r="D116" s="61"/>
      <c r="E116" s="62"/>
      <c r="F116" s="62"/>
      <c r="G116" s="62"/>
      <c r="H116" s="62"/>
      <c r="I116" s="62"/>
      <c r="J116" s="62"/>
    </row>
    <row r="117" spans="1:12" ht="19.5" thickBot="1">
      <c r="A117" s="58">
        <f>IF(ISNUMBER(G117),MAX(A$11:A115)+1, "")</f>
        <v>81</v>
      </c>
      <c r="C117" s="11" t="s">
        <v>327</v>
      </c>
      <c r="E117" s="67">
        <f t="shared" ref="E117:J117" si="20">E27+E46+E64+E73+E83+E90+E96+E115</f>
        <v>112672440.56</v>
      </c>
      <c r="F117" s="67">
        <f t="shared" si="20"/>
        <v>-1867437.8400000026</v>
      </c>
      <c r="G117" s="67">
        <f t="shared" si="20"/>
        <v>110805002.72000001</v>
      </c>
      <c r="H117" s="67">
        <f t="shared" si="20"/>
        <v>51470149.530000001</v>
      </c>
      <c r="I117" s="67">
        <f t="shared" si="20"/>
        <v>10686043.699999999</v>
      </c>
      <c r="J117" s="67">
        <f t="shared" si="20"/>
        <v>20672141.210000001</v>
      </c>
    </row>
    <row r="118" spans="1:12" ht="19.5" thickTop="1">
      <c r="A118" s="57"/>
      <c r="B118" s="65"/>
      <c r="E118" s="59"/>
      <c r="F118" s="59"/>
      <c r="G118" s="21"/>
    </row>
    <row r="119" spans="1:12">
      <c r="A119" s="57"/>
      <c r="B119" s="218" t="s">
        <v>87</v>
      </c>
      <c r="C119" s="66" t="s">
        <v>328</v>
      </c>
      <c r="E119" s="59"/>
      <c r="F119" s="59"/>
      <c r="G119" s="21"/>
      <c r="I119" s="11">
        <f>SUM(I100:I103)</f>
        <v>3649128</v>
      </c>
    </row>
    <row r="120" spans="1:12">
      <c r="A120" s="58"/>
      <c r="E120" s="59"/>
      <c r="F120" s="59"/>
      <c r="G120" s="21"/>
      <c r="I120" s="11">
        <f>SUM(I105:I114)</f>
        <v>871671</v>
      </c>
    </row>
    <row r="121" spans="1:12">
      <c r="B121" s="217" t="s">
        <v>309</v>
      </c>
      <c r="C121" s="71" t="s">
        <v>140</v>
      </c>
      <c r="D121" s="71"/>
      <c r="E121"/>
      <c r="F121"/>
      <c r="G121"/>
      <c r="I121" s="11">
        <f>I119+I120</f>
        <v>4520799</v>
      </c>
    </row>
    <row r="122" spans="1:12" ht="19.5" thickBot="1">
      <c r="D122" s="6"/>
      <c r="E122" s="5" t="s">
        <v>141</v>
      </c>
      <c r="F122" s="1"/>
      <c r="G122"/>
    </row>
    <row r="123" spans="1:12">
      <c r="C123" s="6" t="s">
        <v>133</v>
      </c>
      <c r="D123" s="6"/>
      <c r="E123" s="7">
        <f>'Allocation Factors-Exh. III'!J34</f>
        <v>0.51302686091922756</v>
      </c>
      <c r="F123" s="1"/>
      <c r="G123"/>
    </row>
    <row r="124" spans="1:12">
      <c r="C124" s="6" t="s">
        <v>329</v>
      </c>
      <c r="D124" s="6"/>
      <c r="E124" s="7">
        <f>'Allocation Factors-Exh. III'!J35</f>
        <v>0.14803764489174498</v>
      </c>
      <c r="F124" s="1"/>
      <c r="G124"/>
    </row>
    <row r="125" spans="1:12">
      <c r="C125" s="6" t="s">
        <v>330</v>
      </c>
      <c r="D125" s="6"/>
      <c r="E125" s="7">
        <f>'Allocation Factors-Exh. III'!J36</f>
        <v>0.22663847043140981</v>
      </c>
      <c r="F125" s="1"/>
      <c r="G125"/>
    </row>
    <row r="126" spans="1:12">
      <c r="C126" s="6" t="s">
        <v>204</v>
      </c>
      <c r="D126" s="8"/>
      <c r="E126" s="34">
        <f>'Allocation Factors-Exh. III'!J37</f>
        <v>0.11229702375761763</v>
      </c>
      <c r="F126" s="10">
        <f>E123+E126</f>
        <v>0.62532388467684519</v>
      </c>
      <c r="G126"/>
    </row>
    <row r="127" spans="1:12">
      <c r="C127" s="8" t="s">
        <v>149</v>
      </c>
      <c r="E127" s="9">
        <f>SUM(E123:E126)</f>
        <v>1</v>
      </c>
      <c r="F127" s="1"/>
    </row>
    <row r="128" spans="1:12" ht="19.5" thickBot="1">
      <c r="D128" s="70"/>
      <c r="E128" s="27">
        <f>'NPIS &amp; Rate Base-Exh. VII'!E82</f>
        <v>1862151546.6799994</v>
      </c>
    </row>
    <row r="129" spans="2:7" ht="19.5" thickTop="1"/>
    <row r="130" spans="2:7">
      <c r="B130" s="217" t="s">
        <v>314</v>
      </c>
      <c r="C130" s="70" t="s">
        <v>160</v>
      </c>
      <c r="F130" s="11">
        <f>'NPIS &amp; Rate Base-Exh. VII'!F82</f>
        <v>1417124045.3299999</v>
      </c>
      <c r="G130" s="31">
        <f>ROUND(F130/E128,4)</f>
        <v>0.76100000000000001</v>
      </c>
    </row>
    <row r="131" spans="2:7">
      <c r="C131" s="11" t="s">
        <v>161</v>
      </c>
      <c r="F131" s="11">
        <f>'NPIS &amp; Rate Base-Exh. VII'!G82</f>
        <v>116708213.12999997</v>
      </c>
      <c r="G131" s="31">
        <f>ROUND(F131/E128,4)</f>
        <v>6.2700000000000006E-2</v>
      </c>
    </row>
    <row r="132" spans="2:7">
      <c r="C132" s="11" t="s">
        <v>162</v>
      </c>
      <c r="F132" s="19">
        <f>'NPIS &amp; Rate Base-Exh. VII'!H82</f>
        <v>328319288.80999976</v>
      </c>
      <c r="G132" s="26">
        <f>ROUND(F132/E128,4)</f>
        <v>0.17630000000000001</v>
      </c>
    </row>
    <row r="133" spans="2:7">
      <c r="C133" s="11" t="s">
        <v>163</v>
      </c>
      <c r="F133" s="11">
        <f>SUM(F130:F132)</f>
        <v>1862151547.2699995</v>
      </c>
      <c r="G133" s="31">
        <f>SUM(G130:G132)</f>
        <v>1</v>
      </c>
    </row>
    <row r="134" spans="2:7">
      <c r="C134" s="11" t="s">
        <v>164</v>
      </c>
    </row>
    <row r="135" spans="2:7">
      <c r="C135" s="11" t="s">
        <v>165</v>
      </c>
    </row>
  </sheetData>
  <pageMargins left="0" right="0" top="0" bottom="0" header="0" footer="0"/>
  <pageSetup scale="45" orientation="landscape" r:id="rId1"/>
  <headerFooter>
    <oddHeader xml:space="preserve">&amp;RExhibit IV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workbookViewId="0">
      <selection activeCell="H29" sqref="H29"/>
    </sheetView>
  </sheetViews>
  <sheetFormatPr defaultColWidth="8.88671875" defaultRowHeight="18.75"/>
  <cols>
    <col min="1" max="1" width="8.88671875" style="1"/>
    <col min="2" max="2" width="8" style="1" bestFit="1" customWidth="1"/>
    <col min="3" max="3" width="41.6640625" style="1" customWidth="1"/>
    <col min="4" max="4" width="2.88671875" style="1" customWidth="1"/>
    <col min="5" max="5" width="15.21875" style="1" bestFit="1" customWidth="1"/>
    <col min="6" max="6" width="17.6640625" style="1" customWidth="1"/>
    <col min="7" max="7" width="13.5546875" style="1" bestFit="1" customWidth="1"/>
    <col min="8" max="8" width="15.21875" style="1" bestFit="1" customWidth="1"/>
    <col min="9" max="9" width="16.6640625" style="1" bestFit="1" customWidth="1"/>
    <col min="10" max="10" width="15.88671875" style="1" bestFit="1" customWidth="1"/>
    <col min="11" max="11" width="12.77734375" style="1" customWidth="1"/>
    <col min="12" max="13" width="13.5546875" style="1" bestFit="1" customWidth="1"/>
    <col min="14" max="16384" width="8.88671875" style="1"/>
  </cols>
  <sheetData>
    <row r="1" spans="1:10">
      <c r="A1" s="105" t="str">
        <f>'Cost of Service Factors-Exh. I'!A1</f>
        <v>Grant County Public Utility District</v>
      </c>
      <c r="B1" s="101"/>
      <c r="C1" s="101"/>
      <c r="D1" s="101"/>
      <c r="E1" s="101"/>
      <c r="F1" s="101"/>
      <c r="G1" s="101"/>
      <c r="H1" s="101"/>
    </row>
    <row r="2" spans="1:10">
      <c r="A2" s="103" t="s">
        <v>331</v>
      </c>
      <c r="B2" s="101"/>
      <c r="C2" s="101"/>
      <c r="D2" s="101"/>
      <c r="E2" s="101"/>
      <c r="F2" s="101"/>
      <c r="G2" s="101"/>
      <c r="H2" s="101"/>
    </row>
    <row r="3" spans="1:10">
      <c r="I3"/>
    </row>
    <row r="4" spans="1:10">
      <c r="A4" s="12" t="s">
        <v>45</v>
      </c>
      <c r="B4" s="12" t="s">
        <v>332</v>
      </c>
      <c r="C4" s="12"/>
      <c r="D4" s="12"/>
      <c r="E4" s="12" t="s">
        <v>333</v>
      </c>
      <c r="F4" s="12" t="s">
        <v>334</v>
      </c>
      <c r="G4" s="12"/>
      <c r="H4" s="12"/>
      <c r="I4"/>
    </row>
    <row r="5" spans="1:10">
      <c r="A5" s="15" t="s">
        <v>47</v>
      </c>
      <c r="B5" s="15" t="s">
        <v>335</v>
      </c>
      <c r="C5" s="108" t="s">
        <v>48</v>
      </c>
      <c r="D5" s="108"/>
      <c r="E5" s="15" t="s">
        <v>336</v>
      </c>
      <c r="F5" s="15" t="s">
        <v>133</v>
      </c>
      <c r="G5" s="15" t="s">
        <v>106</v>
      </c>
      <c r="H5" s="15" t="s">
        <v>107</v>
      </c>
      <c r="I5"/>
    </row>
    <row r="6" spans="1:10">
      <c r="E6" s="16" t="s">
        <v>110</v>
      </c>
      <c r="F6" s="16" t="s">
        <v>337</v>
      </c>
      <c r="G6" s="16" t="s">
        <v>338</v>
      </c>
      <c r="H6" s="16" t="s">
        <v>339</v>
      </c>
      <c r="I6"/>
    </row>
    <row r="7" spans="1:10">
      <c r="E7" s="12" t="s">
        <v>3</v>
      </c>
      <c r="F7" s="12" t="s">
        <v>3</v>
      </c>
      <c r="G7" s="12" t="s">
        <v>3</v>
      </c>
      <c r="H7" s="12" t="s">
        <v>3</v>
      </c>
      <c r="I7"/>
    </row>
    <row r="8" spans="1:10">
      <c r="C8" s="2" t="s">
        <v>123</v>
      </c>
      <c r="D8" s="2"/>
      <c r="E8" s="3"/>
    </row>
    <row r="9" spans="1:10">
      <c r="A9" s="37">
        <f>IF(ISNUMBER(E9),MAX(A$8:A8)+1,"")</f>
        <v>1</v>
      </c>
      <c r="B9" s="12">
        <v>301</v>
      </c>
      <c r="C9" s="1" t="s">
        <v>340</v>
      </c>
      <c r="D9" s="150" t="s">
        <v>87</v>
      </c>
      <c r="E9" s="3">
        <v>30373</v>
      </c>
      <c r="F9" s="11">
        <f>ROUND(E9*$H$88,0)</f>
        <v>18993</v>
      </c>
      <c r="G9" s="11">
        <f>ROUND(E9*$G$86,0)</f>
        <v>4496</v>
      </c>
      <c r="H9" s="11">
        <f>ROUND(E9*$G$87,0)</f>
        <v>6884</v>
      </c>
      <c r="J9" s="11"/>
    </row>
    <row r="10" spans="1:10">
      <c r="A10" s="37">
        <f>IF(ISNUMBER(E10),MAX(A$8:A9)+1,"")</f>
        <v>2</v>
      </c>
      <c r="B10" s="12">
        <v>302</v>
      </c>
      <c r="C10" s="1" t="s">
        <v>341</v>
      </c>
      <c r="D10" s="150" t="s">
        <v>87</v>
      </c>
      <c r="E10" s="3">
        <v>56112071.229999997</v>
      </c>
      <c r="F10" s="11"/>
      <c r="G10" s="11"/>
      <c r="H10" s="11"/>
      <c r="J10" s="11"/>
    </row>
    <row r="11" spans="1:10">
      <c r="A11" s="37">
        <f>IF(ISNUMBER(E11),MAX(A$8:A10)+1,"")</f>
        <v>3</v>
      </c>
      <c r="B11" s="12">
        <v>302</v>
      </c>
      <c r="C11" s="1" t="s">
        <v>342</v>
      </c>
      <c r="D11" s="150"/>
      <c r="E11" s="225">
        <v>56108707</v>
      </c>
      <c r="F11" s="11">
        <f>E11</f>
        <v>56108707</v>
      </c>
      <c r="G11" s="11"/>
      <c r="H11" s="11"/>
      <c r="J11" s="11"/>
    </row>
    <row r="12" spans="1:10">
      <c r="A12" s="37">
        <f>IF(ISNUMBER(E12),MAX(A$8:A11)+1,"")</f>
        <v>4</v>
      </c>
      <c r="B12" s="12">
        <v>302</v>
      </c>
      <c r="C12" s="1" t="s">
        <v>343</v>
      </c>
      <c r="D12" s="150"/>
      <c r="E12" s="3">
        <f>E10-E11</f>
        <v>3364.2299999967217</v>
      </c>
      <c r="F12" s="11">
        <f>ROUND(E12*$H$88,0)</f>
        <v>2104</v>
      </c>
      <c r="G12" s="11">
        <f>ROUND(E12*$G$86,0)</f>
        <v>498</v>
      </c>
      <c r="H12" s="11">
        <f>ROUND(E12*$G$87,0)</f>
        <v>762</v>
      </c>
      <c r="I12" s="11"/>
      <c r="J12" s="11"/>
    </row>
    <row r="13" spans="1:10">
      <c r="A13" s="37">
        <f>IF(ISNUMBER(E13),MAX(A$8:A12)+1,"")</f>
        <v>5</v>
      </c>
      <c r="B13" s="12">
        <v>303</v>
      </c>
      <c r="C13" s="1" t="s">
        <v>344</v>
      </c>
      <c r="D13" s="150" t="s">
        <v>87</v>
      </c>
      <c r="E13" s="3">
        <v>142425526.03</v>
      </c>
      <c r="F13" s="11"/>
      <c r="G13" s="11"/>
      <c r="H13" s="11"/>
      <c r="I13" s="11"/>
      <c r="J13"/>
    </row>
    <row r="14" spans="1:10">
      <c r="A14" s="37">
        <f>IF(ISNUMBER(E14),MAX(A$8:A13)+1,"")</f>
        <v>6</v>
      </c>
      <c r="B14" s="12">
        <v>303</v>
      </c>
      <c r="C14" s="1" t="s">
        <v>345</v>
      </c>
      <c r="E14" s="21">
        <f>16491080+801342+17741948</f>
        <v>35034370</v>
      </c>
      <c r="F14" s="11">
        <f>E14</f>
        <v>35034370</v>
      </c>
      <c r="G14" s="11"/>
      <c r="H14" s="11">
        <v>0</v>
      </c>
      <c r="I14" s="11"/>
      <c r="J14"/>
    </row>
    <row r="15" spans="1:10">
      <c r="A15" s="37">
        <f>IF(ISNUMBER(E15),MAX(A$8:A14)+1,"")</f>
        <v>7</v>
      </c>
      <c r="B15" s="12">
        <v>303</v>
      </c>
      <c r="C15" s="1" t="s">
        <v>346</v>
      </c>
      <c r="E15" s="11">
        <v>29633996</v>
      </c>
      <c r="F15" s="11">
        <f t="shared" ref="F15:F16" si="0">E15</f>
        <v>29633996</v>
      </c>
      <c r="G15" s="11"/>
      <c r="H15" s="11"/>
      <c r="I15" s="11"/>
      <c r="J15" s="223"/>
    </row>
    <row r="16" spans="1:10">
      <c r="A16" s="37">
        <f>IF(ISNUMBER(E16),MAX(A$8:A15)+1,"")</f>
        <v>8</v>
      </c>
      <c r="B16" s="12">
        <v>303</v>
      </c>
      <c r="C16" s="1" t="s">
        <v>347</v>
      </c>
      <c r="E16" s="11">
        <v>57147122</v>
      </c>
      <c r="F16" s="11">
        <f t="shared" si="0"/>
        <v>57147122</v>
      </c>
      <c r="G16" s="11"/>
      <c r="H16" s="11"/>
      <c r="I16" s="11"/>
      <c r="J16" s="223"/>
    </row>
    <row r="17" spans="1:12">
      <c r="A17" s="37">
        <f>IF(ISNUMBER(E17),MAX(A$8:A16)+1,"")</f>
        <v>9</v>
      </c>
      <c r="B17" s="12">
        <v>303</v>
      </c>
      <c r="C17" s="1" t="s">
        <v>348</v>
      </c>
      <c r="E17" s="11">
        <f>E13-E14-E15-E16</f>
        <v>20610038.030000001</v>
      </c>
      <c r="F17" s="11">
        <f>ROUND(E17*$H$88,0)</f>
        <v>12887949</v>
      </c>
      <c r="G17" s="11">
        <f>ROUND(E17*$G$86,0)</f>
        <v>3051061</v>
      </c>
      <c r="H17" s="11">
        <f>ROUND(E17*$G$87,0)</f>
        <v>4671027</v>
      </c>
      <c r="I17" s="11"/>
      <c r="J17" s="11"/>
      <c r="K17" s="11"/>
    </row>
    <row r="18" spans="1:12">
      <c r="A18" s="37">
        <f>IF(ISNUMBER(E18),MAX(A$8:A17)+1,"")</f>
        <v>10</v>
      </c>
      <c r="B18" s="12"/>
      <c r="C18" s="109" t="s">
        <v>349</v>
      </c>
      <c r="D18" s="109"/>
      <c r="E18" s="4">
        <f>E9+E10+E13</f>
        <v>198567970.25999999</v>
      </c>
      <c r="F18" s="4">
        <f>SUM(F9:F17)</f>
        <v>190833241</v>
      </c>
      <c r="G18" s="4">
        <f>SUM(G9:G17)</f>
        <v>3056055</v>
      </c>
      <c r="H18" s="4">
        <f>SUM(H9:H17)</f>
        <v>4678673</v>
      </c>
      <c r="I18" s="110"/>
      <c r="J18" s="81"/>
      <c r="K18" s="11"/>
      <c r="L18" s="11"/>
    </row>
    <row r="19" spans="1:12">
      <c r="B19" s="12"/>
      <c r="E19" s="3" t="s">
        <v>167</v>
      </c>
      <c r="G19" s="11"/>
      <c r="H19" s="11"/>
    </row>
    <row r="20" spans="1:12">
      <c r="B20" s="12"/>
      <c r="C20" s="2" t="s">
        <v>350</v>
      </c>
      <c r="D20" s="2"/>
      <c r="E20" s="3"/>
      <c r="F20" s="110"/>
      <c r="G20" s="110"/>
      <c r="H20" s="110"/>
      <c r="I20" s="110"/>
      <c r="J20" s="11"/>
    </row>
    <row r="21" spans="1:12">
      <c r="A21" s="37">
        <f>IF(ISNUMBER(E21),MAX(A$8:A20)+1,"")</f>
        <v>11</v>
      </c>
      <c r="B21" s="12">
        <v>330</v>
      </c>
      <c r="C21" s="1" t="s">
        <v>351</v>
      </c>
      <c r="E21" s="3">
        <v>19685660.300000001</v>
      </c>
      <c r="F21" s="110">
        <f>E21</f>
        <v>19685660.300000001</v>
      </c>
    </row>
    <row r="22" spans="1:12">
      <c r="A22" s="37">
        <f>IF(ISNUMBER(E22),MAX(A$8:A21)+1,"")</f>
        <v>12</v>
      </c>
      <c r="B22" s="12">
        <v>331</v>
      </c>
      <c r="C22" s="1" t="s">
        <v>352</v>
      </c>
      <c r="E22" s="3">
        <v>144112917.75</v>
      </c>
      <c r="F22" s="110">
        <f>E22</f>
        <v>144112917.75</v>
      </c>
    </row>
    <row r="23" spans="1:12">
      <c r="A23" s="37">
        <f>IF(ISNUMBER(E23),MAX(A$8:A22)+1,"")</f>
        <v>13</v>
      </c>
      <c r="B23" s="12">
        <v>332</v>
      </c>
      <c r="C23" s="1" t="s">
        <v>353</v>
      </c>
      <c r="E23" s="3">
        <v>511074820.58999997</v>
      </c>
      <c r="F23" s="110">
        <f t="shared" ref="F23:F30" si="1">E23</f>
        <v>511074820.58999997</v>
      </c>
    </row>
    <row r="24" spans="1:12">
      <c r="A24" s="37">
        <f>IF(ISNUMBER(E24),MAX(A$8:A23)+1,"")</f>
        <v>14</v>
      </c>
      <c r="B24" s="12">
        <v>333</v>
      </c>
      <c r="C24" s="1" t="s">
        <v>354</v>
      </c>
      <c r="E24" s="3">
        <v>625533456.67999995</v>
      </c>
      <c r="F24" s="110">
        <f t="shared" si="1"/>
        <v>625533456.67999995</v>
      </c>
    </row>
    <row r="25" spans="1:12">
      <c r="A25" s="37">
        <f>IF(ISNUMBER(E25),MAX(A$8:A24)+1,"")</f>
        <v>15</v>
      </c>
      <c r="B25" s="12">
        <v>334</v>
      </c>
      <c r="C25" s="1" t="s">
        <v>355</v>
      </c>
      <c r="E25" s="3">
        <v>59024861.200000003</v>
      </c>
      <c r="F25" s="110">
        <f t="shared" si="1"/>
        <v>59024861.200000003</v>
      </c>
    </row>
    <row r="26" spans="1:12">
      <c r="A26" s="37">
        <f>IF(ISNUMBER(E26),MAX(A$8:A25)+1,"")</f>
        <v>16</v>
      </c>
      <c r="B26" s="12">
        <v>335</v>
      </c>
      <c r="C26" s="1" t="s">
        <v>356</v>
      </c>
      <c r="E26" s="3">
        <v>63234736.299999997</v>
      </c>
      <c r="F26" s="110">
        <f t="shared" si="1"/>
        <v>63234736.299999997</v>
      </c>
    </row>
    <row r="27" spans="1:12">
      <c r="A27" s="37">
        <f>IF(ISNUMBER(E27),MAX(A$8:A26)+1,"")</f>
        <v>17</v>
      </c>
      <c r="B27" s="12">
        <v>336</v>
      </c>
      <c r="C27" s="1" t="s">
        <v>357</v>
      </c>
      <c r="E27" s="3">
        <v>1792667.77</v>
      </c>
      <c r="F27" s="110">
        <f t="shared" si="1"/>
        <v>1792667.77</v>
      </c>
    </row>
    <row r="28" spans="1:12">
      <c r="A28" s="37">
        <f>IF(ISNUMBER(E28),MAX(A$8:A27)+1,"")</f>
        <v>18</v>
      </c>
      <c r="B28" s="12"/>
      <c r="C28" s="1" t="s">
        <v>358</v>
      </c>
      <c r="E28" s="3">
        <f>-E46</f>
        <v>39412060</v>
      </c>
      <c r="F28" s="110">
        <f t="shared" si="1"/>
        <v>39412060</v>
      </c>
    </row>
    <row r="29" spans="1:12">
      <c r="A29" s="37">
        <f>IF(ISNUMBER(E29),MAX(A$8:A28)+1,"")</f>
        <v>19</v>
      </c>
      <c r="B29" s="12"/>
      <c r="C29" s="1" t="s">
        <v>359</v>
      </c>
      <c r="E29" s="3">
        <f>-E47</f>
        <v>24750000</v>
      </c>
      <c r="F29" s="110">
        <f t="shared" si="1"/>
        <v>24750000</v>
      </c>
    </row>
    <row r="30" spans="1:12">
      <c r="A30" s="37">
        <f>IF(ISNUMBER(E30),MAX(A$8:A29)+1,"")</f>
        <v>20</v>
      </c>
      <c r="B30" s="12"/>
      <c r="C30" s="1" t="s">
        <v>360</v>
      </c>
      <c r="E30" s="3">
        <f>-E77</f>
        <v>165312998</v>
      </c>
      <c r="F30" s="110">
        <f t="shared" si="1"/>
        <v>165312998</v>
      </c>
    </row>
    <row r="31" spans="1:12">
      <c r="A31" s="37">
        <f>IF(ISNUMBER(E31),MAX(A$8:A30)+1,"")</f>
        <v>21</v>
      </c>
      <c r="B31" s="12"/>
      <c r="C31" s="1" t="s">
        <v>361</v>
      </c>
      <c r="E31" s="3">
        <f>-E78</f>
        <v>19155739</v>
      </c>
      <c r="F31" s="110">
        <f t="shared" ref="F31" si="2">E31</f>
        <v>19155739</v>
      </c>
    </row>
    <row r="32" spans="1:12">
      <c r="A32" s="37">
        <f>IF(ISNUMBER(E32),MAX(A$8:A31)+1,"")</f>
        <v>22</v>
      </c>
      <c r="B32" s="12"/>
      <c r="C32" s="1" t="s">
        <v>362</v>
      </c>
      <c r="E32" s="3">
        <f>-E79</f>
        <v>3755299</v>
      </c>
      <c r="F32" s="110">
        <f t="shared" ref="F32" si="3">E32</f>
        <v>3755299</v>
      </c>
    </row>
    <row r="33" spans="1:9">
      <c r="A33" s="37">
        <f>IF(ISNUMBER(E33),MAX(A$8:A32)+1,"")</f>
        <v>23</v>
      </c>
      <c r="B33" s="12"/>
      <c r="C33" s="109" t="s">
        <v>363</v>
      </c>
      <c r="D33" s="109"/>
      <c r="E33" s="4">
        <f>SUM(E21:E32)</f>
        <v>1676845216.5899999</v>
      </c>
      <c r="F33" s="4">
        <f>SUM(F21:F32)</f>
        <v>1676845216.5899999</v>
      </c>
    </row>
    <row r="34" spans="1:9">
      <c r="A34" s="37" t="str">
        <f>IF(ISNUMBER(E34),MAX(A$8:A33)+1,"")</f>
        <v/>
      </c>
      <c r="B34" s="12"/>
      <c r="C34" s="2" t="s">
        <v>364</v>
      </c>
      <c r="D34" s="2"/>
    </row>
    <row r="35" spans="1:9">
      <c r="A35" s="37">
        <f>IF(ISNUMBER(E35),MAX(A$8:A34)+1,"")</f>
        <v>24</v>
      </c>
      <c r="B35" s="12">
        <v>346</v>
      </c>
      <c r="C35" s="1" t="s">
        <v>356</v>
      </c>
      <c r="E35" s="3">
        <v>29655.78</v>
      </c>
      <c r="F35" s="111">
        <f>E35</f>
        <v>29655.78</v>
      </c>
      <c r="I35" s="110"/>
    </row>
    <row r="36" spans="1:9">
      <c r="A36" s="37">
        <f>IF(ISNUMBER(E36),MAX(A$8:A35)+1,"")</f>
        <v>25</v>
      </c>
      <c r="B36" s="12"/>
      <c r="C36" s="109" t="s">
        <v>365</v>
      </c>
      <c r="D36" s="109"/>
      <c r="E36" s="4">
        <f>SUM(E35:E35)</f>
        <v>29655.78</v>
      </c>
      <c r="F36" s="4">
        <f>SUM(F35:F35)</f>
        <v>29655.78</v>
      </c>
    </row>
    <row r="37" spans="1:9">
      <c r="B37" s="12"/>
      <c r="E37" s="3"/>
    </row>
    <row r="38" spans="1:9">
      <c r="B38" s="12"/>
      <c r="C38" s="2" t="s">
        <v>366</v>
      </c>
      <c r="D38" s="2"/>
      <c r="E38" s="3"/>
    </row>
    <row r="39" spans="1:9">
      <c r="A39" s="37">
        <f>IF(ISNUMBER(E39),MAX(A$8:A38)+1,"")</f>
        <v>26</v>
      </c>
      <c r="B39" s="12">
        <v>350</v>
      </c>
      <c r="C39" s="1" t="s">
        <v>351</v>
      </c>
      <c r="E39" s="3">
        <v>2002732.0499999998</v>
      </c>
      <c r="G39" s="110">
        <f>E39</f>
        <v>2002732.0499999998</v>
      </c>
    </row>
    <row r="40" spans="1:9">
      <c r="A40" s="37">
        <f>IF(ISNUMBER(E40),MAX(A$8:A39)+1,"")</f>
        <v>27</v>
      </c>
      <c r="B40" s="12">
        <v>352</v>
      </c>
      <c r="C40" s="1" t="s">
        <v>352</v>
      </c>
      <c r="E40" s="3">
        <v>5906796.4299999997</v>
      </c>
      <c r="G40" s="110">
        <f t="shared" ref="G40:G47" si="4">E40</f>
        <v>5906796.4299999997</v>
      </c>
    </row>
    <row r="41" spans="1:9">
      <c r="A41" s="37">
        <f>IF(ISNUMBER(E41),MAX(A$8:A40)+1,"")</f>
        <v>28</v>
      </c>
      <c r="B41" s="12">
        <v>353</v>
      </c>
      <c r="C41" s="1" t="s">
        <v>367</v>
      </c>
      <c r="E41" s="3">
        <v>87642273.099999994</v>
      </c>
      <c r="G41" s="110">
        <f t="shared" si="4"/>
        <v>87642273.099999994</v>
      </c>
    </row>
    <row r="42" spans="1:9">
      <c r="A42" s="37">
        <f>IF(ISNUMBER(E42),MAX(A$8:A41)+1,"")</f>
        <v>29</v>
      </c>
      <c r="B42" s="12">
        <v>354</v>
      </c>
      <c r="C42" s="1" t="s">
        <v>368</v>
      </c>
      <c r="E42" s="3">
        <v>9747602.0500000007</v>
      </c>
      <c r="G42" s="110">
        <f t="shared" si="4"/>
        <v>9747602.0500000007</v>
      </c>
    </row>
    <row r="43" spans="1:9">
      <c r="A43" s="37">
        <f>IF(ISNUMBER(E43),MAX(A$8:A42)+1,"")</f>
        <v>30</v>
      </c>
      <c r="B43" s="12">
        <v>355</v>
      </c>
      <c r="C43" s="1" t="s">
        <v>369</v>
      </c>
      <c r="E43" s="3">
        <v>87273369.439999998</v>
      </c>
      <c r="G43" s="110">
        <f t="shared" si="4"/>
        <v>87273369.439999998</v>
      </c>
    </row>
    <row r="44" spans="1:9">
      <c r="A44" s="37">
        <f>IF(ISNUMBER(E44),MAX(A$8:A43)+1,"")</f>
        <v>31</v>
      </c>
      <c r="B44" s="12">
        <v>356</v>
      </c>
      <c r="C44" s="1" t="s">
        <v>370</v>
      </c>
      <c r="E44" s="3">
        <v>60374024.899999999</v>
      </c>
      <c r="G44" s="110">
        <f t="shared" si="4"/>
        <v>60374024.899999999</v>
      </c>
    </row>
    <row r="45" spans="1:9">
      <c r="A45" s="37">
        <f>IF(ISNUMBER(E45),MAX(A$8:A44)+1,"")</f>
        <v>32</v>
      </c>
      <c r="B45" s="12">
        <v>359</v>
      </c>
      <c r="C45" s="1" t="s">
        <v>371</v>
      </c>
      <c r="E45" s="3">
        <v>82269.700000000012</v>
      </c>
      <c r="G45" s="110">
        <f t="shared" si="4"/>
        <v>82269.700000000012</v>
      </c>
    </row>
    <row r="46" spans="1:9">
      <c r="A46" s="37">
        <v>24</v>
      </c>
      <c r="B46" s="12"/>
      <c r="C46" s="1" t="s">
        <v>358</v>
      </c>
      <c r="E46" s="3">
        <v>-39412060</v>
      </c>
      <c r="G46" s="110">
        <f t="shared" si="4"/>
        <v>-39412060</v>
      </c>
    </row>
    <row r="47" spans="1:9">
      <c r="A47" s="37">
        <v>25</v>
      </c>
      <c r="B47" s="12"/>
      <c r="C47" s="1" t="s">
        <v>359</v>
      </c>
      <c r="E47" s="3">
        <v>-24750000</v>
      </c>
      <c r="G47" s="110">
        <f t="shared" si="4"/>
        <v>-24750000</v>
      </c>
    </row>
    <row r="48" spans="1:9">
      <c r="A48" s="37">
        <f>IF(ISNUMBER(E48),MAX(A$8:A47)+1,"")</f>
        <v>33</v>
      </c>
      <c r="B48" s="12"/>
      <c r="C48" s="109" t="s">
        <v>372</v>
      </c>
      <c r="D48" s="109"/>
      <c r="E48" s="4">
        <f>SUM(E39:E47)</f>
        <v>188867007.66999999</v>
      </c>
      <c r="G48" s="4">
        <f>SUM(G39:G47)</f>
        <v>188867007.66999999</v>
      </c>
    </row>
    <row r="49" spans="1:10">
      <c r="B49" s="12"/>
      <c r="E49" s="3"/>
    </row>
    <row r="50" spans="1:10">
      <c r="B50" s="12"/>
      <c r="C50" s="2" t="s">
        <v>373</v>
      </c>
      <c r="D50" s="2"/>
      <c r="E50" s="3"/>
    </row>
    <row r="51" spans="1:10">
      <c r="A51" s="37">
        <f>IF(ISNUMBER(E51),MAX(A$8:A50)+1,"")</f>
        <v>34</v>
      </c>
      <c r="B51" s="12">
        <v>360</v>
      </c>
      <c r="C51" s="1" t="s">
        <v>351</v>
      </c>
      <c r="E51" s="3">
        <v>853208.64</v>
      </c>
      <c r="H51" s="110">
        <f>E51</f>
        <v>853208.64</v>
      </c>
      <c r="I51"/>
      <c r="J51"/>
    </row>
    <row r="52" spans="1:10">
      <c r="A52" s="37">
        <f>IF(ISNUMBER(E52),MAX(A$8:A51)+1,"")</f>
        <v>35</v>
      </c>
      <c r="B52" s="12">
        <v>361</v>
      </c>
      <c r="C52" s="1" t="s">
        <v>352</v>
      </c>
      <c r="E52" s="3">
        <v>1052383.6299999999</v>
      </c>
      <c r="H52" s="110">
        <f t="shared" ref="H52:H61" si="5">E52</f>
        <v>1052383.6299999999</v>
      </c>
      <c r="I52"/>
      <c r="J52"/>
    </row>
    <row r="53" spans="1:10">
      <c r="A53" s="37">
        <f>IF(ISNUMBER(E53),MAX(A$8:A52)+1,"")</f>
        <v>36</v>
      </c>
      <c r="B53" s="12">
        <v>362</v>
      </c>
      <c r="C53" s="1" t="s">
        <v>374</v>
      </c>
      <c r="E53" s="3">
        <v>176101529.24000001</v>
      </c>
      <c r="H53" s="110">
        <f t="shared" si="5"/>
        <v>176101529.24000001</v>
      </c>
      <c r="I53"/>
    </row>
    <row r="54" spans="1:10">
      <c r="A54" s="37">
        <f>IF(ISNUMBER(E54),MAX(A$8:A53)+1,"")</f>
        <v>37</v>
      </c>
      <c r="B54" s="12">
        <v>364</v>
      </c>
      <c r="C54" s="1" t="s">
        <v>375</v>
      </c>
      <c r="E54" s="3">
        <v>92252170.510000005</v>
      </c>
      <c r="H54" s="110">
        <f t="shared" si="5"/>
        <v>92252170.510000005</v>
      </c>
      <c r="I54"/>
    </row>
    <row r="55" spans="1:10">
      <c r="A55" s="37">
        <f>IF(ISNUMBER(E55),MAX(A$8:A54)+1,"")</f>
        <v>38</v>
      </c>
      <c r="B55" s="12">
        <v>365</v>
      </c>
      <c r="C55" s="1" t="s">
        <v>370</v>
      </c>
      <c r="E55" s="3">
        <v>92966520.579999998</v>
      </c>
      <c r="H55" s="110">
        <f t="shared" si="5"/>
        <v>92966520.579999998</v>
      </c>
      <c r="I55"/>
    </row>
    <row r="56" spans="1:10">
      <c r="A56" s="37">
        <f>IF(ISNUMBER(E56),MAX(A$8:A55)+1,"")</f>
        <v>39</v>
      </c>
      <c r="B56" s="12">
        <v>366</v>
      </c>
      <c r="C56" s="1" t="s">
        <v>376</v>
      </c>
      <c r="E56" s="3">
        <v>22305266.890000001</v>
      </c>
      <c r="H56" s="110">
        <f t="shared" si="5"/>
        <v>22305266.890000001</v>
      </c>
      <c r="I56"/>
    </row>
    <row r="57" spans="1:10">
      <c r="A57" s="37">
        <f>IF(ISNUMBER(E57),MAX(A$8:A56)+1,"")</f>
        <v>40</v>
      </c>
      <c r="B57" s="12">
        <v>367</v>
      </c>
      <c r="C57" s="1" t="s">
        <v>377</v>
      </c>
      <c r="E57" s="3">
        <v>96477984.120000005</v>
      </c>
      <c r="H57" s="110">
        <f t="shared" si="5"/>
        <v>96477984.120000005</v>
      </c>
      <c r="I57"/>
    </row>
    <row r="58" spans="1:10">
      <c r="A58" s="37">
        <f>IF(ISNUMBER(E58),MAX(A$8:A57)+1,"")</f>
        <v>41</v>
      </c>
      <c r="B58" s="12">
        <v>368</v>
      </c>
      <c r="C58" s="1" t="s">
        <v>378</v>
      </c>
      <c r="E58" s="3">
        <v>75150171.00999999</v>
      </c>
      <c r="H58" s="110">
        <f t="shared" si="5"/>
        <v>75150171.00999999</v>
      </c>
      <c r="I58"/>
    </row>
    <row r="59" spans="1:10">
      <c r="A59" s="37">
        <f>IF(ISNUMBER(E59),MAX(A$8:A58)+1,"")</f>
        <v>42</v>
      </c>
      <c r="B59" s="12">
        <v>369</v>
      </c>
      <c r="C59" s="1" t="s">
        <v>379</v>
      </c>
      <c r="E59" s="3">
        <v>21339100.899999999</v>
      </c>
      <c r="H59" s="110">
        <f t="shared" si="5"/>
        <v>21339100.899999999</v>
      </c>
      <c r="I59"/>
    </row>
    <row r="60" spans="1:10">
      <c r="A60" s="37">
        <f>IF(ISNUMBER(E60),MAX(A$8:A59)+1,"")</f>
        <v>43</v>
      </c>
      <c r="B60" s="12">
        <v>370</v>
      </c>
      <c r="C60" s="1" t="s">
        <v>380</v>
      </c>
      <c r="E60" s="3">
        <v>23489723.060000002</v>
      </c>
      <c r="H60" s="110">
        <f t="shared" si="5"/>
        <v>23489723.060000002</v>
      </c>
      <c r="I60"/>
    </row>
    <row r="61" spans="1:10">
      <c r="A61" s="37">
        <f>IF(ISNUMBER(E61),MAX(A$8:A60)+1,"")</f>
        <v>44</v>
      </c>
      <c r="B61" s="12">
        <v>373</v>
      </c>
      <c r="C61" s="1" t="s">
        <v>381</v>
      </c>
      <c r="E61" s="3">
        <v>7108100.4400000004</v>
      </c>
      <c r="H61" s="110">
        <f t="shared" si="5"/>
        <v>7108100.4400000004</v>
      </c>
      <c r="I61"/>
    </row>
    <row r="62" spans="1:10">
      <c r="B62" s="12"/>
      <c r="E62" s="3"/>
      <c r="I62"/>
    </row>
    <row r="63" spans="1:10">
      <c r="A63" s="37">
        <f>IF(ISNUMBER(E63),MAX(A$8:A62)+1,"")</f>
        <v>45</v>
      </c>
      <c r="B63" s="12"/>
      <c r="C63" s="109" t="s">
        <v>382</v>
      </c>
      <c r="D63" s="109"/>
      <c r="E63" s="4">
        <f>SUM(E51:E61)</f>
        <v>609096159.01999998</v>
      </c>
      <c r="H63" s="4">
        <f>SUM(H51:H61)</f>
        <v>609096159.01999998</v>
      </c>
      <c r="I63"/>
    </row>
    <row r="64" spans="1:10">
      <c r="B64" s="12"/>
      <c r="E64" s="3"/>
    </row>
    <row r="65" spans="1:14">
      <c r="B65" s="12"/>
      <c r="C65" s="2" t="s">
        <v>383</v>
      </c>
      <c r="D65" s="2"/>
      <c r="E65" s="3"/>
    </row>
    <row r="66" spans="1:14">
      <c r="A66" s="37">
        <f>IF(ISNUMBER(E66),MAX(A$8:A65)+1,"")</f>
        <v>46</v>
      </c>
      <c r="B66" s="12">
        <v>389</v>
      </c>
      <c r="C66" s="1" t="s">
        <v>351</v>
      </c>
      <c r="D66" s="150" t="s">
        <v>87</v>
      </c>
      <c r="E66" s="3">
        <v>2377715.5</v>
      </c>
      <c r="F66" s="11">
        <f t="shared" ref="F66:F79" si="6">ROUND(E66*$H$88,0)</f>
        <v>1486842</v>
      </c>
      <c r="G66" s="11">
        <f t="shared" ref="G66:G79" si="7">ROUND(E66*$G$86,0)</f>
        <v>351991</v>
      </c>
      <c r="H66" s="11">
        <f t="shared" ref="H66:H79" si="8">ROUND(E66*$G$87,0)</f>
        <v>538882</v>
      </c>
      <c r="I66" s="11"/>
      <c r="J66" s="110"/>
    </row>
    <row r="67" spans="1:14">
      <c r="A67" s="37">
        <f>IF(ISNUMBER(E67),MAX(A$8:A66)+1,"")</f>
        <v>47</v>
      </c>
      <c r="B67" s="12">
        <v>390</v>
      </c>
      <c r="C67" s="1" t="s">
        <v>352</v>
      </c>
      <c r="D67" s="150" t="s">
        <v>87</v>
      </c>
      <c r="E67" s="3">
        <v>220763261.13</v>
      </c>
      <c r="F67" s="11">
        <f t="shared" si="6"/>
        <v>138048540</v>
      </c>
      <c r="G67" s="11">
        <f t="shared" si="7"/>
        <v>32681273</v>
      </c>
      <c r="H67" s="11">
        <f t="shared" si="8"/>
        <v>50033448</v>
      </c>
      <c r="I67" s="11"/>
      <c r="J67" s="110"/>
    </row>
    <row r="68" spans="1:14">
      <c r="A68" s="37">
        <f>IF(ISNUMBER(E68),MAX(A$8:A67)+1,"")</f>
        <v>48</v>
      </c>
      <c r="B68" s="12">
        <v>391</v>
      </c>
      <c r="C68" s="1" t="s">
        <v>384</v>
      </c>
      <c r="D68" s="150" t="s">
        <v>87</v>
      </c>
      <c r="E68" s="3">
        <v>43672057.099999994</v>
      </c>
      <c r="F68" s="11">
        <f t="shared" si="6"/>
        <v>27309180</v>
      </c>
      <c r="G68" s="11">
        <f t="shared" si="7"/>
        <v>6465108</v>
      </c>
      <c r="H68" s="11">
        <f t="shared" si="8"/>
        <v>9897768</v>
      </c>
      <c r="I68" s="11"/>
      <c r="J68" s="110"/>
    </row>
    <row r="69" spans="1:14">
      <c r="A69" s="37">
        <f>IF(ISNUMBER(E69),MAX(A$8:A68)+1,"")</f>
        <v>49</v>
      </c>
      <c r="B69" s="12">
        <v>392</v>
      </c>
      <c r="C69" s="1" t="s">
        <v>385</v>
      </c>
      <c r="D69" s="150" t="s">
        <v>87</v>
      </c>
      <c r="E69" s="3">
        <v>22411805.039999999</v>
      </c>
      <c r="F69" s="11">
        <f t="shared" si="6"/>
        <v>14014637</v>
      </c>
      <c r="G69" s="11">
        <f t="shared" si="7"/>
        <v>3317791</v>
      </c>
      <c r="H69" s="11">
        <f t="shared" si="8"/>
        <v>5079377</v>
      </c>
      <c r="I69" s="11"/>
      <c r="J69" s="110"/>
    </row>
    <row r="70" spans="1:14">
      <c r="A70" s="37">
        <f>IF(ISNUMBER(E70),MAX(A$8:A69)+1,"")</f>
        <v>50</v>
      </c>
      <c r="B70" s="12">
        <v>393</v>
      </c>
      <c r="C70" s="1" t="s">
        <v>386</v>
      </c>
      <c r="D70" s="150" t="s">
        <v>87</v>
      </c>
      <c r="E70" s="3">
        <v>210943.86</v>
      </c>
      <c r="F70" s="11">
        <f t="shared" si="6"/>
        <v>131908</v>
      </c>
      <c r="G70" s="11">
        <f t="shared" si="7"/>
        <v>31228</v>
      </c>
      <c r="H70" s="11">
        <f t="shared" si="8"/>
        <v>47808</v>
      </c>
      <c r="I70" s="11"/>
      <c r="J70" s="110"/>
    </row>
    <row r="71" spans="1:14">
      <c r="A71" s="37">
        <f>IF(ISNUMBER(E71),MAX(A$8:A70)+1,"")</f>
        <v>51</v>
      </c>
      <c r="B71" s="12">
        <v>394</v>
      </c>
      <c r="C71" s="1" t="s">
        <v>387</v>
      </c>
      <c r="E71" s="3">
        <v>9052840.870000001</v>
      </c>
      <c r="F71" s="11">
        <f t="shared" si="6"/>
        <v>5660958</v>
      </c>
      <c r="G71" s="11">
        <f t="shared" si="7"/>
        <v>1340161</v>
      </c>
      <c r="H71" s="11">
        <f t="shared" si="8"/>
        <v>2051722</v>
      </c>
      <c r="I71" s="11"/>
      <c r="J71" s="110"/>
    </row>
    <row r="72" spans="1:14">
      <c r="A72" s="37">
        <f>IF(ISNUMBER(E72),MAX(A$8:A71)+1,"")</f>
        <v>52</v>
      </c>
      <c r="B72" s="12">
        <v>395</v>
      </c>
      <c r="C72" s="1" t="s">
        <v>388</v>
      </c>
      <c r="D72" s="150" t="s">
        <v>87</v>
      </c>
      <c r="E72" s="3">
        <v>493371.12</v>
      </c>
      <c r="F72" s="11">
        <f t="shared" si="6"/>
        <v>308517</v>
      </c>
      <c r="G72" s="11">
        <f t="shared" si="7"/>
        <v>73037</v>
      </c>
      <c r="H72" s="11">
        <f t="shared" si="8"/>
        <v>111817</v>
      </c>
      <c r="I72" s="11"/>
      <c r="J72" s="110"/>
    </row>
    <row r="73" spans="1:14">
      <c r="A73" s="37">
        <f>IF(ISNUMBER(E73),MAX(A$8:A72)+1,"")</f>
        <v>53</v>
      </c>
      <c r="B73" s="12">
        <v>396</v>
      </c>
      <c r="C73" s="1" t="s">
        <v>389</v>
      </c>
      <c r="D73" s="150" t="s">
        <v>87</v>
      </c>
      <c r="E73" s="3">
        <v>368133.91</v>
      </c>
      <c r="F73" s="11">
        <f t="shared" si="6"/>
        <v>230203</v>
      </c>
      <c r="G73" s="11">
        <f t="shared" si="7"/>
        <v>54498</v>
      </c>
      <c r="H73" s="11">
        <f t="shared" si="8"/>
        <v>83433</v>
      </c>
      <c r="I73" s="11"/>
      <c r="J73" s="110"/>
    </row>
    <row r="74" spans="1:14">
      <c r="A74" s="37">
        <f>IF(ISNUMBER(E74),MAX(A$8:A73)+1,"")</f>
        <v>54</v>
      </c>
      <c r="B74" s="12">
        <v>397</v>
      </c>
      <c r="C74" s="1" t="s">
        <v>390</v>
      </c>
      <c r="D74" s="150" t="s">
        <v>87</v>
      </c>
      <c r="E74" s="3">
        <v>238587872.37</v>
      </c>
      <c r="F74" s="11">
        <f t="shared" si="6"/>
        <v>149194695</v>
      </c>
      <c r="G74" s="11">
        <f t="shared" si="7"/>
        <v>35319987</v>
      </c>
      <c r="H74" s="11">
        <f t="shared" si="8"/>
        <v>54073190</v>
      </c>
      <c r="I74" s="11"/>
      <c r="J74" s="110"/>
    </row>
    <row r="75" spans="1:14">
      <c r="A75" s="37">
        <f>IF(ISNUMBER(E75),MAX(A$8:A74)+1,"")</f>
        <v>55</v>
      </c>
      <c r="B75" s="12">
        <v>398</v>
      </c>
      <c r="C75" s="1" t="s">
        <v>391</v>
      </c>
      <c r="D75" s="150" t="s">
        <v>87</v>
      </c>
      <c r="E75" s="3">
        <v>5537724.4199999999</v>
      </c>
      <c r="F75" s="11">
        <f t="shared" si="6"/>
        <v>3462871</v>
      </c>
      <c r="G75" s="11">
        <f t="shared" si="7"/>
        <v>819792</v>
      </c>
      <c r="H75" s="11">
        <f t="shared" si="8"/>
        <v>1255061</v>
      </c>
      <c r="I75" s="11"/>
      <c r="J75" s="110"/>
    </row>
    <row r="76" spans="1:14">
      <c r="A76" s="37">
        <f>IF(ISNUMBER(E76),MAX(A$8:A75)+1,"")</f>
        <v>56</v>
      </c>
      <c r="B76" s="12">
        <v>397</v>
      </c>
      <c r="C76" s="1" t="s">
        <v>392</v>
      </c>
      <c r="E76" s="3">
        <v>-180523620</v>
      </c>
      <c r="F76" s="11">
        <f t="shared" si="6"/>
        <v>-112885731</v>
      </c>
      <c r="G76" s="11">
        <f t="shared" si="7"/>
        <v>-26724292</v>
      </c>
      <c r="H76" s="11">
        <f t="shared" si="8"/>
        <v>-40913597</v>
      </c>
      <c r="J76" s="110"/>
    </row>
    <row r="77" spans="1:14">
      <c r="A77" s="37">
        <f>IF(ISNUMBER(E77),MAX(A$8:A76)+1,"")</f>
        <v>57</v>
      </c>
      <c r="B77" s="12">
        <v>390</v>
      </c>
      <c r="C77" s="1" t="s">
        <v>360</v>
      </c>
      <c r="E77" s="3">
        <v>-165312998</v>
      </c>
      <c r="F77" s="11">
        <f t="shared" si="6"/>
        <v>-103374166</v>
      </c>
      <c r="G77" s="11">
        <f t="shared" si="7"/>
        <v>-24472547</v>
      </c>
      <c r="H77" s="11">
        <f t="shared" si="8"/>
        <v>-37466285</v>
      </c>
      <c r="J77" s="110"/>
    </row>
    <row r="78" spans="1:14">
      <c r="A78" s="37">
        <f>IF(ISNUMBER(E78),MAX(A$8:A77)+1,"")</f>
        <v>58</v>
      </c>
      <c r="B78" s="12">
        <v>391</v>
      </c>
      <c r="C78" s="1" t="s">
        <v>361</v>
      </c>
      <c r="E78" s="3">
        <v>-19155739</v>
      </c>
      <c r="F78" s="11">
        <f t="shared" si="6"/>
        <v>-11978541</v>
      </c>
      <c r="G78" s="11">
        <f t="shared" si="7"/>
        <v>-2835770</v>
      </c>
      <c r="H78" s="11">
        <f t="shared" si="8"/>
        <v>-4341427</v>
      </c>
      <c r="J78" s="110"/>
    </row>
    <row r="79" spans="1:14">
      <c r="A79" s="37">
        <f>IF(ISNUMBER(E79),MAX(A$8:A78)+1,"")</f>
        <v>59</v>
      </c>
      <c r="B79" s="12">
        <v>398</v>
      </c>
      <c r="C79" s="1" t="s">
        <v>362</v>
      </c>
      <c r="E79" s="3">
        <v>-3755299</v>
      </c>
      <c r="F79" s="11">
        <f t="shared" si="6"/>
        <v>-2348278</v>
      </c>
      <c r="G79" s="11">
        <f t="shared" si="7"/>
        <v>-555926</v>
      </c>
      <c r="H79" s="11">
        <f t="shared" si="8"/>
        <v>-851095</v>
      </c>
      <c r="J79" s="110"/>
    </row>
    <row r="80" spans="1:14">
      <c r="A80" s="37">
        <f>IF(ISNUMBER(E80),MAX(A$8:A79)+1,"")</f>
        <v>60</v>
      </c>
      <c r="B80" s="12"/>
      <c r="C80" s="109" t="s">
        <v>393</v>
      </c>
      <c r="D80" s="150" t="s">
        <v>309</v>
      </c>
      <c r="E80" s="4">
        <f>SUM(E66:E79)</f>
        <v>174728069.32000005</v>
      </c>
      <c r="F80" s="4">
        <f>SUM(F66:F79)</f>
        <v>109261635</v>
      </c>
      <c r="G80" s="4">
        <f>SUM(G66:G79)</f>
        <v>25866331</v>
      </c>
      <c r="H80" s="4">
        <f>SUM(H66:H79)</f>
        <v>39600102</v>
      </c>
      <c r="M80" s="110"/>
      <c r="N80" s="110"/>
    </row>
    <row r="81" spans="1:10">
      <c r="B81" s="12"/>
    </row>
    <row r="82" spans="1:10">
      <c r="A82" s="37">
        <f>IF(ISNUMBER(E82),MAX(A$8:A81)+1,"")</f>
        <v>61</v>
      </c>
      <c r="B82" s="12"/>
      <c r="C82" s="109" t="s">
        <v>333</v>
      </c>
      <c r="D82" s="109"/>
      <c r="E82" s="3">
        <f>E80+E63+E48+E36+E18+E33</f>
        <v>2848134078.6399999</v>
      </c>
      <c r="F82" s="3">
        <f>F80+F63+F48+F36+F18+F33</f>
        <v>1976969748.3699999</v>
      </c>
      <c r="G82" s="3">
        <f>G80+G63+G48+G36+G18+G33</f>
        <v>217789393.66999999</v>
      </c>
      <c r="H82" s="3">
        <f>H80+H63+H48+H36+H18+H33</f>
        <v>653374934.01999998</v>
      </c>
      <c r="I82" s="110">
        <f>SUM(F82:H82)</f>
        <v>2848134076.0599999</v>
      </c>
      <c r="J82" s="110">
        <f>I82-E82</f>
        <v>-2.5799999237060547</v>
      </c>
    </row>
    <row r="83" spans="1:10">
      <c r="B83" s="12"/>
      <c r="F83" s="124">
        <f>ROUND(F82/E82,4)</f>
        <v>0.69410000000000005</v>
      </c>
      <c r="G83" s="124">
        <f>ROUND(G82/E82,4)</f>
        <v>7.6499999999999999E-2</v>
      </c>
      <c r="H83" s="124">
        <f>ROUND(H82/E82,4)</f>
        <v>0.22939999999999999</v>
      </c>
      <c r="J83" s="10"/>
    </row>
    <row r="84" spans="1:10" ht="19.5" thickBot="1">
      <c r="B84" s="219" t="s">
        <v>87</v>
      </c>
      <c r="C84" s="71" t="s">
        <v>140</v>
      </c>
      <c r="D84" s="71"/>
      <c r="E84"/>
      <c r="G84" s="5" t="s">
        <v>141</v>
      </c>
      <c r="J84" s="10"/>
    </row>
    <row r="85" spans="1:10">
      <c r="C85" s="6" t="s">
        <v>133</v>
      </c>
      <c r="D85" s="6"/>
      <c r="E85"/>
      <c r="G85" s="114">
        <f>'Allocation Factors-Exh. III'!J34</f>
        <v>0.51302686091922756</v>
      </c>
      <c r="J85" s="10"/>
    </row>
    <row r="86" spans="1:10">
      <c r="C86" s="6" t="s">
        <v>329</v>
      </c>
      <c r="D86" s="6"/>
      <c r="E86"/>
      <c r="G86" s="114">
        <f>'Allocation Factors-Exh. III'!J35</f>
        <v>0.14803764489174498</v>
      </c>
    </row>
    <row r="87" spans="1:10">
      <c r="C87" s="6" t="s">
        <v>330</v>
      </c>
      <c r="D87" s="6"/>
      <c r="E87"/>
      <c r="G87" s="114">
        <f>'Allocation Factors-Exh. III'!J36</f>
        <v>0.22663847043140981</v>
      </c>
    </row>
    <row r="88" spans="1:10">
      <c r="C88" s="6" t="s">
        <v>204</v>
      </c>
      <c r="D88" s="6"/>
      <c r="E88"/>
      <c r="G88" s="114">
        <f>'Allocation Factors-Exh. III'!J37</f>
        <v>0.11229702375761763</v>
      </c>
      <c r="H88" s="10">
        <f>G85+G88</f>
        <v>0.62532388467684519</v>
      </c>
    </row>
    <row r="89" spans="1:10">
      <c r="C89" s="8" t="s">
        <v>149</v>
      </c>
      <c r="D89" s="8"/>
      <c r="E89"/>
      <c r="G89" s="9">
        <f>SUM(G85:G88)</f>
        <v>1</v>
      </c>
    </row>
    <row r="91" spans="1:10">
      <c r="B91" s="12"/>
      <c r="E91" s="15" t="s">
        <v>136</v>
      </c>
      <c r="F91" s="205" t="s">
        <v>394</v>
      </c>
      <c r="G91" s="205" t="s">
        <v>106</v>
      </c>
    </row>
    <row r="92" spans="1:10" ht="19.5" thickBot="1">
      <c r="B92" s="150" t="s">
        <v>395</v>
      </c>
      <c r="E92" s="151">
        <f>SUM(E66:E75)</f>
        <v>543475725.32000005</v>
      </c>
      <c r="F92" s="206">
        <f>SUM(E9:E13)</f>
        <v>254680041.48999998</v>
      </c>
      <c r="G92" s="206">
        <f>SUM(E39:E45)</f>
        <v>253029067.66999999</v>
      </c>
    </row>
    <row r="93" spans="1:10" ht="19.5" thickTop="1"/>
  </sheetData>
  <pageMargins left="1" right="0" top="0" bottom="0" header="0.3" footer="0"/>
  <pageSetup scale="47" orientation="portrait" r:id="rId1"/>
  <headerFooter>
    <oddHeader>&amp;RExhibit V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6"/>
  <sheetViews>
    <sheetView workbookViewId="0">
      <selection activeCell="I2" sqref="I2"/>
    </sheetView>
  </sheetViews>
  <sheetFormatPr defaultColWidth="8.88671875" defaultRowHeight="18.75"/>
  <cols>
    <col min="1" max="1" width="8.88671875" style="1"/>
    <col min="2" max="2" width="8" style="1" bestFit="1" customWidth="1"/>
    <col min="3" max="3" width="41.21875" style="1" customWidth="1"/>
    <col min="4" max="4" width="2.88671875" style="1" customWidth="1"/>
    <col min="5" max="5" width="18.109375" style="1" customWidth="1"/>
    <col min="6" max="6" width="15.21875" style="1" bestFit="1" customWidth="1"/>
    <col min="7" max="7" width="13.5546875" style="1" bestFit="1" customWidth="1"/>
    <col min="8" max="8" width="15.21875" style="1" bestFit="1" customWidth="1"/>
    <col min="9" max="9" width="16.6640625" style="1" bestFit="1" customWidth="1"/>
    <col min="10" max="10" width="15.88671875" style="1" bestFit="1" customWidth="1"/>
    <col min="11" max="11" width="18.88671875" style="1" customWidth="1"/>
    <col min="12" max="13" width="13.5546875" style="1" bestFit="1" customWidth="1"/>
    <col min="14" max="14" width="14.21875" style="1" bestFit="1" customWidth="1"/>
    <col min="15" max="16384" width="8.88671875" style="1"/>
  </cols>
  <sheetData>
    <row r="1" spans="1:13">
      <c r="A1" s="105" t="str">
        <f>'Cost of Service Factors-Exh. I'!A1</f>
        <v>Grant County Public Utility District</v>
      </c>
      <c r="B1" s="101"/>
      <c r="C1" s="101"/>
      <c r="D1" s="101"/>
      <c r="E1" s="101"/>
      <c r="F1" s="101"/>
      <c r="G1" s="101"/>
      <c r="H1" s="101"/>
    </row>
    <row r="2" spans="1:13">
      <c r="A2" s="103" t="s">
        <v>396</v>
      </c>
      <c r="B2" s="101"/>
      <c r="C2" s="101"/>
      <c r="D2" s="101"/>
      <c r="E2" s="101"/>
      <c r="F2" s="101"/>
      <c r="G2" s="101"/>
      <c r="H2" s="101"/>
      <c r="I2"/>
      <c r="K2" s="1" t="s">
        <v>397</v>
      </c>
      <c r="M2" s="11">
        <v>24600660</v>
      </c>
    </row>
    <row r="3" spans="1:13">
      <c r="I3"/>
      <c r="J3" s="1" t="s">
        <v>398</v>
      </c>
      <c r="K3" s="11">
        <f>'Gross Plant In Service-Exh. V'!E11</f>
        <v>56108707</v>
      </c>
      <c r="L3" s="226">
        <f>ROUND(K3/$K$8,8)</f>
        <v>0.99994004999999997</v>
      </c>
      <c r="M3" s="11">
        <f>ROUND($M$2*L3,0)</f>
        <v>24599185</v>
      </c>
    </row>
    <row r="4" spans="1:13">
      <c r="A4" s="12" t="s">
        <v>45</v>
      </c>
      <c r="B4" s="12" t="s">
        <v>332</v>
      </c>
      <c r="C4" s="12"/>
      <c r="D4" s="12"/>
      <c r="E4" s="12" t="s">
        <v>399</v>
      </c>
      <c r="F4" s="12" t="s">
        <v>334</v>
      </c>
      <c r="G4" s="12"/>
      <c r="H4" s="12"/>
      <c r="I4"/>
      <c r="J4" s="1" t="s">
        <v>398</v>
      </c>
      <c r="K4" s="11">
        <f>'Gross Plant In Service-Exh. V'!F12</f>
        <v>2104</v>
      </c>
      <c r="L4" s="226">
        <f>ROUND(K4/$K$8,8)</f>
        <v>3.7499999999999997E-5</v>
      </c>
      <c r="M4" s="11">
        <f t="shared" ref="M4:M6" si="0">ROUND($M$2*L4,0)</f>
        <v>923</v>
      </c>
    </row>
    <row r="5" spans="1:13">
      <c r="A5" s="15" t="s">
        <v>47</v>
      </c>
      <c r="B5" s="15" t="s">
        <v>335</v>
      </c>
      <c r="C5" s="108" t="s">
        <v>48</v>
      </c>
      <c r="D5" s="108"/>
      <c r="E5" s="15" t="s">
        <v>400</v>
      </c>
      <c r="F5" s="15" t="s">
        <v>133</v>
      </c>
      <c r="G5" s="15" t="s">
        <v>106</v>
      </c>
      <c r="H5" s="15" t="s">
        <v>107</v>
      </c>
      <c r="I5"/>
      <c r="J5" s="1" t="s">
        <v>401</v>
      </c>
      <c r="K5" s="11">
        <f>'Gross Plant In Service-Exh. V'!G12</f>
        <v>498</v>
      </c>
      <c r="L5" s="226">
        <f>ROUND(K5/$K$8,8)</f>
        <v>8.8799999999999997E-6</v>
      </c>
      <c r="M5" s="11">
        <f t="shared" si="0"/>
        <v>218</v>
      </c>
    </row>
    <row r="6" spans="1:13">
      <c r="E6" s="16" t="s">
        <v>110</v>
      </c>
      <c r="F6" s="16" t="s">
        <v>337</v>
      </c>
      <c r="G6" s="16" t="s">
        <v>338</v>
      </c>
      <c r="H6" s="16" t="s">
        <v>339</v>
      </c>
      <c r="I6"/>
      <c r="J6" s="1" t="s">
        <v>402</v>
      </c>
      <c r="K6" s="11">
        <f>'Gross Plant In Service-Exh. V'!H12</f>
        <v>762</v>
      </c>
      <c r="L6" s="226">
        <f>ROUND(K6/$K$8,8)</f>
        <v>1.358E-5</v>
      </c>
      <c r="M6" s="11">
        <f t="shared" si="0"/>
        <v>334</v>
      </c>
    </row>
    <row r="7" spans="1:13">
      <c r="E7" s="12" t="s">
        <v>3</v>
      </c>
      <c r="F7" s="12" t="s">
        <v>3</v>
      </c>
      <c r="G7" s="12" t="s">
        <v>3</v>
      </c>
      <c r="H7" s="12" t="s">
        <v>3</v>
      </c>
      <c r="I7"/>
    </row>
    <row r="8" spans="1:13">
      <c r="E8" s="12"/>
      <c r="F8" s="12"/>
      <c r="G8" s="12"/>
      <c r="H8" s="12"/>
      <c r="I8"/>
      <c r="J8" s="1" t="s">
        <v>403</v>
      </c>
      <c r="K8" s="11">
        <f>SUM(K3:K6)</f>
        <v>56112071</v>
      </c>
      <c r="L8" s="227">
        <f>SUM(L3:L6)</f>
        <v>1.0000000099999999</v>
      </c>
      <c r="M8" s="11">
        <f>SUM(M3:M6)</f>
        <v>24600660</v>
      </c>
    </row>
    <row r="9" spans="1:13">
      <c r="C9" s="2" t="s">
        <v>404</v>
      </c>
      <c r="D9" s="2"/>
      <c r="E9" s="3"/>
      <c r="I9"/>
    </row>
    <row r="10" spans="1:13">
      <c r="A10" s="37">
        <f>IF(ISNUMBER(E10),MAX(A$9:A9)+1,"")</f>
        <v>1</v>
      </c>
      <c r="B10" s="12">
        <v>301</v>
      </c>
      <c r="C10" s="1" t="s">
        <v>340</v>
      </c>
      <c r="D10" s="150"/>
      <c r="E10" s="229">
        <v>0</v>
      </c>
      <c r="F10" s="230">
        <f>ROUND(E10*$H$91,0)</f>
        <v>0</v>
      </c>
      <c r="G10" s="230">
        <f>ROUND(E10*$G$89,0)</f>
        <v>0</v>
      </c>
      <c r="H10" s="230">
        <f>ROUND(E10*$G$90,0)</f>
        <v>0</v>
      </c>
      <c r="I10"/>
    </row>
    <row r="11" spans="1:13">
      <c r="A11" s="37">
        <f>IF(ISNUMBER(E11),MAX(A$9:A10)+1,"")</f>
        <v>2</v>
      </c>
      <c r="B11" s="12">
        <v>302</v>
      </c>
      <c r="C11" s="1" t="s">
        <v>341</v>
      </c>
      <c r="D11" s="150"/>
      <c r="E11" s="231">
        <v>24600660.420000002</v>
      </c>
      <c r="F11" s="230"/>
      <c r="G11" s="230"/>
      <c r="H11" s="230"/>
      <c r="I11"/>
      <c r="J11" s="30"/>
      <c r="K11" s="110"/>
    </row>
    <row r="12" spans="1:13">
      <c r="A12" s="37">
        <f>IF(ISNUMBER(E12),MAX(A$9:A11)+1,"")</f>
        <v>3</v>
      </c>
      <c r="B12" s="12"/>
      <c r="C12" s="1" t="s">
        <v>342</v>
      </c>
      <c r="D12" s="150"/>
      <c r="E12" s="231">
        <f>M3</f>
        <v>24599185</v>
      </c>
      <c r="F12" s="230">
        <f>E12</f>
        <v>24599185</v>
      </c>
      <c r="G12" s="230">
        <v>0</v>
      </c>
      <c r="H12" s="230">
        <v>0</v>
      </c>
      <c r="I12"/>
      <c r="J12" s="30"/>
      <c r="K12" s="110"/>
    </row>
    <row r="13" spans="1:13">
      <c r="A13" s="37">
        <f>IF(ISNUMBER(E13),MAX(A$9:A12)+1,"")</f>
        <v>4</v>
      </c>
      <c r="B13" s="12"/>
      <c r="C13" s="1" t="s">
        <v>343</v>
      </c>
      <c r="D13" s="150"/>
      <c r="E13" s="231">
        <f>E11-E12</f>
        <v>1475.4200000017881</v>
      </c>
      <c r="F13" s="230">
        <f>M4</f>
        <v>923</v>
      </c>
      <c r="G13" s="230">
        <f>M5</f>
        <v>218</v>
      </c>
      <c r="H13" s="230">
        <f>M6</f>
        <v>334</v>
      </c>
      <c r="I13"/>
      <c r="K13" s="1" t="s">
        <v>397</v>
      </c>
      <c r="M13" s="11">
        <f>E14-E15</f>
        <v>25459236.32</v>
      </c>
    </row>
    <row r="14" spans="1:13">
      <c r="A14" s="37">
        <f>IF(ISNUMBER(E14),MAX(A$9:A13)+1,"")</f>
        <v>5</v>
      </c>
      <c r="B14" s="12">
        <v>303</v>
      </c>
      <c r="C14" s="1" t="s">
        <v>344</v>
      </c>
      <c r="D14" s="150"/>
      <c r="E14" s="231">
        <v>52493606.32</v>
      </c>
      <c r="F14" s="230"/>
      <c r="G14" s="230"/>
      <c r="H14" s="230"/>
      <c r="I14"/>
      <c r="J14" s="1" t="s">
        <v>405</v>
      </c>
      <c r="K14" s="11">
        <f>'Gross Plant In Service-Exh. V'!E15</f>
        <v>29633996</v>
      </c>
      <c r="L14" s="226">
        <f>ROUND(K14/$K$20,8)</f>
        <v>0.27594447999999999</v>
      </c>
      <c r="M14" s="11">
        <f>ROUND($M$13*L14,0)</f>
        <v>7025336</v>
      </c>
    </row>
    <row r="15" spans="1:13">
      <c r="A15" s="37">
        <f>IF(ISNUMBER(E15),MAX(A$9:A14)+1,"")</f>
        <v>6</v>
      </c>
      <c r="B15" s="12"/>
      <c r="C15" s="1" t="s">
        <v>345</v>
      </c>
      <c r="E15" s="231">
        <v>27034370</v>
      </c>
      <c r="F15" s="230">
        <f>E15</f>
        <v>27034370</v>
      </c>
      <c r="G15" s="230">
        <v>0</v>
      </c>
      <c r="H15" s="230">
        <v>0</v>
      </c>
      <c r="I15"/>
      <c r="J15" s="1" t="s">
        <v>405</v>
      </c>
      <c r="K15" s="11">
        <f>'Gross Plant In Service-Exh. V'!E16</f>
        <v>57147122</v>
      </c>
      <c r="L15" s="226">
        <f t="shared" ref="L15:L18" si="1">ROUND(K15/$K$20,8)</f>
        <v>0.53213993000000004</v>
      </c>
      <c r="M15" s="11">
        <f t="shared" ref="M15:M18" si="2">ROUND($M$13*L15,0)</f>
        <v>13547876</v>
      </c>
    </row>
    <row r="16" spans="1:13">
      <c r="A16" s="37">
        <f>IF(ISNUMBER(E16),MAX(A$9:A15)+1,"")</f>
        <v>7</v>
      </c>
      <c r="B16" s="12"/>
      <c r="C16" s="1" t="s">
        <v>346</v>
      </c>
      <c r="E16" s="229">
        <f>M14</f>
        <v>7025336</v>
      </c>
      <c r="F16" s="230">
        <f>E16</f>
        <v>7025336</v>
      </c>
      <c r="G16" s="230">
        <f>ROUND('Gross Plant In Service-Exh. V'!G15*'Accumulated Reserves-Exh. VI'!K17,0)</f>
        <v>0</v>
      </c>
      <c r="H16" s="230">
        <f>ROUND('Gross Plant In Service-Exh. V'!H15*'Accumulated Reserves-Exh. VI'!K17,0)</f>
        <v>0</v>
      </c>
      <c r="I16"/>
      <c r="J16" s="1" t="s">
        <v>405</v>
      </c>
      <c r="K16" s="11">
        <f>'Gross Plant In Service-Exh. V'!F17</f>
        <v>12887949</v>
      </c>
      <c r="L16" s="226">
        <f t="shared" si="1"/>
        <v>0.12000941</v>
      </c>
      <c r="M16" s="11">
        <f t="shared" si="2"/>
        <v>3055348</v>
      </c>
    </row>
    <row r="17" spans="1:13">
      <c r="A17" s="37">
        <f>IF(ISNUMBER(E17),MAX(A$9:A16)+1,"")</f>
        <v>8</v>
      </c>
      <c r="B17" s="12"/>
      <c r="C17" s="1" t="s">
        <v>347</v>
      </c>
      <c r="E17" s="229">
        <f>M15</f>
        <v>13547876</v>
      </c>
      <c r="F17" s="230">
        <f>E17</f>
        <v>13547876</v>
      </c>
      <c r="G17" s="230">
        <v>0</v>
      </c>
      <c r="H17" s="230">
        <v>0</v>
      </c>
      <c r="I17"/>
      <c r="J17" s="1" t="s">
        <v>406</v>
      </c>
      <c r="K17" s="11">
        <f>'Gross Plant In Service-Exh. V'!G17</f>
        <v>3051061</v>
      </c>
      <c r="L17" s="226">
        <f t="shared" si="1"/>
        <v>2.8410729999999999E-2</v>
      </c>
      <c r="M17" s="11">
        <f t="shared" si="2"/>
        <v>723315</v>
      </c>
    </row>
    <row r="18" spans="1:13">
      <c r="A18" s="37">
        <f>IF(ISNUMBER(E18),MAX(A$9:A17)+1,"")</f>
        <v>9</v>
      </c>
      <c r="B18" s="12"/>
      <c r="C18" s="1" t="s">
        <v>348</v>
      </c>
      <c r="E18" s="229">
        <f>SUM(F18:H18)</f>
        <v>4886024</v>
      </c>
      <c r="F18" s="230">
        <f>M16</f>
        <v>3055348</v>
      </c>
      <c r="G18" s="230">
        <f>M17</f>
        <v>723315</v>
      </c>
      <c r="H18" s="230">
        <f>M18</f>
        <v>1107361</v>
      </c>
      <c r="I18"/>
      <c r="J18" s="1" t="s">
        <v>407</v>
      </c>
      <c r="K18" s="11">
        <f>'Gross Plant In Service-Exh. V'!H17</f>
        <v>4671027</v>
      </c>
      <c r="L18" s="226">
        <f t="shared" si="1"/>
        <v>4.3495449999999998E-2</v>
      </c>
      <c r="M18" s="11">
        <f t="shared" si="2"/>
        <v>1107361</v>
      </c>
    </row>
    <row r="19" spans="1:13">
      <c r="A19" s="37">
        <f>IF(ISNUMBER(E19),MAX(A$9:A18)+1,"")</f>
        <v>10</v>
      </c>
      <c r="B19" s="12"/>
      <c r="C19" s="109" t="s">
        <v>408</v>
      </c>
      <c r="D19" s="109"/>
      <c r="E19" s="228">
        <f>E10+E11+E14</f>
        <v>77094266.74000001</v>
      </c>
      <c r="F19" s="228">
        <f>SUM(F10:F18)</f>
        <v>75263038</v>
      </c>
      <c r="G19" s="228">
        <f>SUM(G10:G18)</f>
        <v>723533</v>
      </c>
      <c r="H19" s="228">
        <f>SUM(H10:H18)</f>
        <v>1107695</v>
      </c>
      <c r="I19" s="222">
        <f>SUM(F19:H19)</f>
        <v>77094266</v>
      </c>
    </row>
    <row r="20" spans="1:13">
      <c r="A20" s="37" t="str">
        <f>IF(ISNUMBER(E20),MAX(A$9:A19)+1,"")</f>
        <v/>
      </c>
      <c r="B20" s="12"/>
      <c r="E20" s="232"/>
      <c r="F20" s="232"/>
      <c r="G20" s="232"/>
      <c r="H20" s="232"/>
      <c r="I20"/>
      <c r="J20" s="1" t="s">
        <v>403</v>
      </c>
      <c r="K20" s="11">
        <f>SUM(K14:K18)</f>
        <v>107391155</v>
      </c>
      <c r="L20" s="227">
        <f>SUM(L14:L18)</f>
        <v>1</v>
      </c>
      <c r="M20" s="11">
        <f>SUM(M14:M18)</f>
        <v>25459236</v>
      </c>
    </row>
    <row r="21" spans="1:13">
      <c r="A21" s="37" t="str">
        <f>IF(ISNUMBER(E21),MAX(A$9:A20)+1,"")</f>
        <v/>
      </c>
      <c r="B21" s="12"/>
      <c r="C21" s="2" t="s">
        <v>350</v>
      </c>
      <c r="D21" s="2"/>
      <c r="E21" s="233"/>
      <c r="F21" s="232"/>
      <c r="G21" s="232"/>
      <c r="H21" s="232"/>
      <c r="I21"/>
    </row>
    <row r="22" spans="1:13">
      <c r="A22" s="37">
        <f>IF(ISNUMBER(E22),MAX(A$9:A21)+1,"")</f>
        <v>11</v>
      </c>
      <c r="B22" s="12">
        <v>330</v>
      </c>
      <c r="C22" s="1" t="s">
        <v>351</v>
      </c>
      <c r="E22" s="229">
        <v>0</v>
      </c>
      <c r="F22" s="230">
        <f>E22</f>
        <v>0</v>
      </c>
      <c r="G22" s="232"/>
      <c r="H22" s="232"/>
      <c r="I22"/>
    </row>
    <row r="23" spans="1:13">
      <c r="A23" s="37">
        <f>IF(ISNUMBER(E23),MAX(A$9:A22)+1,"")</f>
        <v>12</v>
      </c>
      <c r="B23" s="12">
        <v>331</v>
      </c>
      <c r="C23" s="1" t="s">
        <v>352</v>
      </c>
      <c r="E23" s="229">
        <v>24852507.609999999</v>
      </c>
      <c r="F23" s="230">
        <f t="shared" ref="F23:F31" si="3">E23</f>
        <v>24852507.609999999</v>
      </c>
      <c r="G23" s="232"/>
      <c r="H23" s="232"/>
      <c r="I23"/>
    </row>
    <row r="24" spans="1:13">
      <c r="A24" s="37">
        <f>IF(ISNUMBER(E24),MAX(A$9:A23)+1,"")</f>
        <v>13</v>
      </c>
      <c r="B24" s="12">
        <v>332</v>
      </c>
      <c r="C24" s="1" t="s">
        <v>353</v>
      </c>
      <c r="E24" s="229">
        <v>115100840.02</v>
      </c>
      <c r="F24" s="230">
        <f t="shared" si="3"/>
        <v>115100840.02</v>
      </c>
      <c r="G24" s="232"/>
      <c r="H24" s="232"/>
      <c r="I24"/>
    </row>
    <row r="25" spans="1:13">
      <c r="A25" s="37">
        <f>IF(ISNUMBER(E25),MAX(A$9:A24)+1,"")</f>
        <v>14</v>
      </c>
      <c r="B25" s="12">
        <v>333</v>
      </c>
      <c r="C25" s="1" t="s">
        <v>354</v>
      </c>
      <c r="E25" s="229">
        <v>166883997.12999997</v>
      </c>
      <c r="F25" s="230">
        <f t="shared" si="3"/>
        <v>166883997.12999997</v>
      </c>
      <c r="G25" s="232"/>
      <c r="H25" s="232"/>
      <c r="I25"/>
    </row>
    <row r="26" spans="1:13">
      <c r="A26" s="37">
        <f>IF(ISNUMBER(E26),MAX(A$9:A25)+1,"")</f>
        <v>15</v>
      </c>
      <c r="B26" s="12">
        <v>334</v>
      </c>
      <c r="C26" s="1" t="s">
        <v>355</v>
      </c>
      <c r="E26" s="229">
        <v>27726895.399999999</v>
      </c>
      <c r="F26" s="230">
        <f t="shared" si="3"/>
        <v>27726895.399999999</v>
      </c>
      <c r="G26" s="232"/>
      <c r="H26" s="232"/>
      <c r="I26"/>
    </row>
    <row r="27" spans="1:13">
      <c r="A27" s="37">
        <f>IF(ISNUMBER(E27),MAX(A$9:A26)+1,"")</f>
        <v>16</v>
      </c>
      <c r="B27" s="12">
        <v>335</v>
      </c>
      <c r="C27" s="1" t="s">
        <v>356</v>
      </c>
      <c r="E27" s="229">
        <v>32362643.519999992</v>
      </c>
      <c r="F27" s="230">
        <f t="shared" si="3"/>
        <v>32362643.519999992</v>
      </c>
      <c r="G27" s="232"/>
      <c r="H27" s="232"/>
      <c r="I27"/>
    </row>
    <row r="28" spans="1:13">
      <c r="A28" s="37">
        <f>IF(ISNUMBER(E28),MAX(A$9:A27)+1,"")</f>
        <v>17</v>
      </c>
      <c r="B28" s="12">
        <v>336</v>
      </c>
      <c r="C28" s="1" t="s">
        <v>357</v>
      </c>
      <c r="E28" s="229">
        <v>1047412.3</v>
      </c>
      <c r="F28" s="230">
        <f t="shared" si="3"/>
        <v>1047412.3</v>
      </c>
      <c r="G28" s="232"/>
      <c r="H28" s="232"/>
      <c r="I28"/>
    </row>
    <row r="29" spans="1:13">
      <c r="A29" s="37">
        <f>IF(ISNUMBER(E29),MAX(A$9:A28)+1,"")</f>
        <v>18</v>
      </c>
      <c r="B29" s="12"/>
      <c r="C29" s="1" t="s">
        <v>358</v>
      </c>
      <c r="E29" s="229">
        <f>-E48</f>
        <v>6028246</v>
      </c>
      <c r="F29" s="230">
        <f t="shared" si="3"/>
        <v>6028246</v>
      </c>
      <c r="G29" s="232"/>
      <c r="H29" s="232"/>
      <c r="I29"/>
    </row>
    <row r="30" spans="1:13">
      <c r="A30" s="37">
        <f>IF(ISNUMBER(E30),MAX(A$9:A29)+1,"")</f>
        <v>19</v>
      </c>
      <c r="B30" s="12"/>
      <c r="C30" s="1" t="s">
        <v>359</v>
      </c>
      <c r="E30" s="229">
        <f>-E49</f>
        <v>12375000</v>
      </c>
      <c r="F30" s="230">
        <f t="shared" si="3"/>
        <v>12375000</v>
      </c>
      <c r="G30" s="232"/>
      <c r="H30" s="232"/>
      <c r="I30"/>
    </row>
    <row r="31" spans="1:13">
      <c r="A31" s="37">
        <f>IF(ISNUMBER(E31),MAX(A$9:A30)+1,"")</f>
        <v>20</v>
      </c>
      <c r="B31" s="12"/>
      <c r="C31" s="1" t="s">
        <v>360</v>
      </c>
      <c r="E31" s="229">
        <f>-E80</f>
        <v>11881870</v>
      </c>
      <c r="F31" s="230">
        <f t="shared" si="3"/>
        <v>11881870</v>
      </c>
      <c r="G31" s="232"/>
      <c r="H31" s="232"/>
      <c r="I31"/>
    </row>
    <row r="32" spans="1:13">
      <c r="A32" s="37">
        <f>IF(ISNUMBER(E32),MAX(A$9:A31)+1,"")</f>
        <v>21</v>
      </c>
      <c r="B32" s="12"/>
      <c r="C32" s="1" t="s">
        <v>361</v>
      </c>
      <c r="E32" s="229">
        <f>-E81</f>
        <v>18976641</v>
      </c>
      <c r="F32" s="230">
        <f t="shared" ref="F32" si="4">E32</f>
        <v>18976641</v>
      </c>
      <c r="G32" s="232"/>
      <c r="H32" s="232"/>
      <c r="I32"/>
    </row>
    <row r="33" spans="1:9">
      <c r="A33" s="37">
        <f>IF(ISNUMBER(E33),MAX(A$9:A32)+1,"")</f>
        <v>22</v>
      </c>
      <c r="B33" s="12"/>
      <c r="C33" s="1" t="s">
        <v>362</v>
      </c>
      <c r="E33" s="229">
        <f>-E82</f>
        <v>2745566</v>
      </c>
      <c r="F33" s="230">
        <f t="shared" ref="F33" si="5">E33</f>
        <v>2745566</v>
      </c>
      <c r="G33" s="232"/>
      <c r="H33" s="232"/>
      <c r="I33"/>
    </row>
    <row r="34" spans="1:9">
      <c r="A34" s="37">
        <f>IF(ISNUMBER(E34),MAX(A$9:A33)+1,"")</f>
        <v>23</v>
      </c>
      <c r="B34" s="12"/>
      <c r="C34" s="109" t="s">
        <v>409</v>
      </c>
      <c r="D34" s="109"/>
      <c r="E34" s="234">
        <f>SUM(E22:E33)</f>
        <v>419981618.97999996</v>
      </c>
      <c r="F34" s="234">
        <f>SUM(F22:F33)</f>
        <v>419981618.97999996</v>
      </c>
      <c r="G34" s="232"/>
      <c r="H34" s="232"/>
      <c r="I34"/>
    </row>
    <row r="35" spans="1:9">
      <c r="A35" s="37" t="str">
        <f>IF(ISNUMBER(E35),MAX(A$9:A34)+1,"")</f>
        <v/>
      </c>
      <c r="B35" s="12"/>
      <c r="E35" s="230"/>
      <c r="F35" s="230"/>
      <c r="G35" s="232"/>
      <c r="H35" s="232"/>
      <c r="I35"/>
    </row>
    <row r="36" spans="1:9">
      <c r="A36" s="37" t="str">
        <f>IF(ISNUMBER(E36),MAX(A$9:A35)+1,"")</f>
        <v/>
      </c>
      <c r="B36" s="12"/>
      <c r="C36" s="2" t="s">
        <v>364</v>
      </c>
      <c r="D36" s="2"/>
      <c r="E36" s="230"/>
      <c r="F36" s="230"/>
      <c r="G36" s="232"/>
      <c r="H36" s="232"/>
      <c r="I36"/>
    </row>
    <row r="37" spans="1:9">
      <c r="A37" s="37">
        <f>IF(ISNUMBER(E37),MAX(A$9:A36)+1,"")</f>
        <v>24</v>
      </c>
      <c r="B37" s="12">
        <v>346</v>
      </c>
      <c r="C37" s="1" t="s">
        <v>356</v>
      </c>
      <c r="E37" s="229">
        <v>20759.060000000001</v>
      </c>
      <c r="F37" s="235">
        <f>E37</f>
        <v>20759.060000000001</v>
      </c>
      <c r="G37" s="232"/>
      <c r="H37" s="232"/>
      <c r="I37"/>
    </row>
    <row r="38" spans="1:9">
      <c r="A38" s="37">
        <f>IF(ISNUMBER(E38),MAX(A$9:A37)+1,"")</f>
        <v>25</v>
      </c>
      <c r="B38" s="12"/>
      <c r="C38" s="109" t="s">
        <v>410</v>
      </c>
      <c r="D38" s="109"/>
      <c r="E38" s="234">
        <f>SUM(E37:E37)</f>
        <v>20759.060000000001</v>
      </c>
      <c r="F38" s="234">
        <f>SUM(F37:F37)</f>
        <v>20759.060000000001</v>
      </c>
      <c r="G38" s="232"/>
      <c r="H38" s="232"/>
      <c r="I38"/>
    </row>
    <row r="39" spans="1:9">
      <c r="A39" s="37" t="str">
        <f>IF(ISNUMBER(E39),MAX(A$9:A38)+1,"")</f>
        <v/>
      </c>
      <c r="B39" s="12"/>
      <c r="E39" s="232"/>
      <c r="F39" s="230"/>
      <c r="G39" s="232"/>
      <c r="H39" s="232"/>
      <c r="I39"/>
    </row>
    <row r="40" spans="1:9">
      <c r="A40" s="37" t="str">
        <f>IF(ISNUMBER(E40),MAX(A$9:A39)+1,"")</f>
        <v/>
      </c>
      <c r="B40" s="12"/>
      <c r="C40" s="2" t="s">
        <v>411</v>
      </c>
      <c r="D40" s="2"/>
      <c r="E40" s="236"/>
      <c r="F40" s="230"/>
      <c r="G40" s="232"/>
      <c r="H40" s="232"/>
      <c r="I40"/>
    </row>
    <row r="41" spans="1:9">
      <c r="A41" s="37">
        <f>IF(ISNUMBER(E41),MAX(A$9:A40)+1,"")</f>
        <v>26</v>
      </c>
      <c r="B41" s="12">
        <v>350</v>
      </c>
      <c r="C41" s="1" t="s">
        <v>351</v>
      </c>
      <c r="E41" s="229">
        <v>0</v>
      </c>
      <c r="F41" s="230"/>
      <c r="G41" s="230">
        <f>E41</f>
        <v>0</v>
      </c>
      <c r="H41" s="232"/>
      <c r="I41"/>
    </row>
    <row r="42" spans="1:9">
      <c r="A42" s="37">
        <f>IF(ISNUMBER(E42),MAX(A$9:A41)+1,"")</f>
        <v>27</v>
      </c>
      <c r="B42" s="12">
        <v>352</v>
      </c>
      <c r="C42" s="1" t="s">
        <v>352</v>
      </c>
      <c r="E42" s="229">
        <v>3250108.34</v>
      </c>
      <c r="F42" s="230"/>
      <c r="G42" s="237">
        <f t="shared" ref="G42:G48" si="6">E42</f>
        <v>3250108.34</v>
      </c>
      <c r="H42" s="232"/>
      <c r="I42"/>
    </row>
    <row r="43" spans="1:9">
      <c r="A43" s="37">
        <f>IF(ISNUMBER(E43),MAX(A$9:A42)+1,"")</f>
        <v>28</v>
      </c>
      <c r="B43" s="12">
        <v>353</v>
      </c>
      <c r="C43" s="1" t="s">
        <v>367</v>
      </c>
      <c r="E43" s="229">
        <v>43619606.379999995</v>
      </c>
      <c r="F43" s="230"/>
      <c r="G43" s="237">
        <f t="shared" si="6"/>
        <v>43619606.379999995</v>
      </c>
      <c r="H43" s="232"/>
      <c r="I43"/>
    </row>
    <row r="44" spans="1:9">
      <c r="A44" s="37">
        <f>IF(ISNUMBER(E44),MAX(A$9:A43)+1,"")</f>
        <v>29</v>
      </c>
      <c r="B44" s="12">
        <v>354</v>
      </c>
      <c r="C44" s="1" t="s">
        <v>368</v>
      </c>
      <c r="E44" s="229">
        <v>5675684.04</v>
      </c>
      <c r="F44" s="230"/>
      <c r="G44" s="237">
        <f t="shared" si="6"/>
        <v>5675684.04</v>
      </c>
      <c r="H44" s="232"/>
      <c r="I44"/>
    </row>
    <row r="45" spans="1:9">
      <c r="A45" s="37">
        <f>IF(ISNUMBER(E45),MAX(A$9:A44)+1,"")</f>
        <v>30</v>
      </c>
      <c r="B45" s="12">
        <v>355</v>
      </c>
      <c r="C45" s="1" t="s">
        <v>369</v>
      </c>
      <c r="E45" s="229">
        <v>33534450.739999991</v>
      </c>
      <c r="F45" s="230"/>
      <c r="G45" s="237">
        <f t="shared" si="6"/>
        <v>33534450.739999991</v>
      </c>
      <c r="H45" s="232"/>
      <c r="I45"/>
    </row>
    <row r="46" spans="1:9">
      <c r="A46" s="37">
        <f>IF(ISNUMBER(E46),MAX(A$9:A45)+1,"")</f>
        <v>31</v>
      </c>
      <c r="B46" s="12">
        <v>356</v>
      </c>
      <c r="C46" s="1" t="s">
        <v>370</v>
      </c>
      <c r="E46" s="229">
        <v>17334506.509999994</v>
      </c>
      <c r="F46" s="230"/>
      <c r="G46" s="237">
        <f t="shared" si="6"/>
        <v>17334506.509999994</v>
      </c>
      <c r="H46" s="232"/>
      <c r="I46"/>
    </row>
    <row r="47" spans="1:9">
      <c r="A47" s="37">
        <f>IF(ISNUMBER(E47),MAX(A$9:A46)+1,"")</f>
        <v>32</v>
      </c>
      <c r="B47" s="12">
        <v>359</v>
      </c>
      <c r="C47" s="1" t="s">
        <v>371</v>
      </c>
      <c r="E47" s="229">
        <v>57960.53</v>
      </c>
      <c r="F47" s="230"/>
      <c r="G47" s="237">
        <f t="shared" si="6"/>
        <v>57960.53</v>
      </c>
      <c r="H47" s="232"/>
      <c r="I47"/>
    </row>
    <row r="48" spans="1:9">
      <c r="A48" s="37">
        <f>IF(ISNUMBER(E48),MAX(A$9:A47)+1,"")</f>
        <v>33</v>
      </c>
      <c r="B48" s="12"/>
      <c r="C48" s="1" t="s">
        <v>358</v>
      </c>
      <c r="E48" s="229">
        <v>-6028246</v>
      </c>
      <c r="F48" s="230"/>
      <c r="G48" s="237">
        <f t="shared" si="6"/>
        <v>-6028246</v>
      </c>
      <c r="H48" s="232"/>
      <c r="I48"/>
    </row>
    <row r="49" spans="1:13">
      <c r="A49" s="37">
        <f>IF(ISNUMBER(E49),MAX(A$9:A48)+1,"")</f>
        <v>34</v>
      </c>
      <c r="B49" s="12"/>
      <c r="C49" s="1" t="s">
        <v>359</v>
      </c>
      <c r="E49" s="229">
        <v>-12375000</v>
      </c>
      <c r="F49" s="230"/>
      <c r="G49" s="230">
        <f>E49</f>
        <v>-12375000</v>
      </c>
      <c r="H49" s="232"/>
      <c r="I49"/>
    </row>
    <row r="50" spans="1:13">
      <c r="A50" s="37">
        <f>IF(ISNUMBER(E50),MAX(A$9:A49)+1,"")</f>
        <v>35</v>
      </c>
      <c r="B50" s="12"/>
      <c r="C50" s="109" t="s">
        <v>412</v>
      </c>
      <c r="D50" s="109"/>
      <c r="E50" s="234">
        <f>SUM(E41:E49)</f>
        <v>85069070.539999977</v>
      </c>
      <c r="F50" s="230"/>
      <c r="G50" s="234">
        <f>SUM(G41:G49)</f>
        <v>85069070.539999977</v>
      </c>
      <c r="H50" s="232"/>
      <c r="I50"/>
    </row>
    <row r="51" spans="1:13">
      <c r="A51" s="37" t="str">
        <f>IF(ISNUMBER(E51),MAX(A$9:A50)+1,"")</f>
        <v/>
      </c>
      <c r="B51" s="12"/>
      <c r="E51" s="232"/>
      <c r="F51" s="230"/>
      <c r="G51" s="232"/>
      <c r="H51" s="232"/>
      <c r="I51"/>
    </row>
    <row r="52" spans="1:13">
      <c r="A52" s="37" t="str">
        <f>IF(ISNUMBER(E52),MAX(A$9:A51)+1,"")</f>
        <v/>
      </c>
      <c r="B52" s="12"/>
      <c r="E52" s="236"/>
      <c r="F52" s="230"/>
      <c r="G52" s="232"/>
      <c r="H52" s="232"/>
      <c r="I52"/>
    </row>
    <row r="53" spans="1:13">
      <c r="A53" s="37" t="str">
        <f>IF(ISNUMBER(E53),MAX(A$9:A52)+1,"")</f>
        <v/>
      </c>
      <c r="B53" s="12"/>
      <c r="C53" s="2" t="s">
        <v>413</v>
      </c>
      <c r="D53" s="2"/>
      <c r="E53" s="236"/>
      <c r="F53" s="230"/>
      <c r="G53" s="232"/>
      <c r="H53" s="232"/>
      <c r="I53"/>
    </row>
    <row r="54" spans="1:13">
      <c r="A54" s="37">
        <f>IF(ISNUMBER(E54),MAX(A$9:A53)+1,"")</f>
        <v>36</v>
      </c>
      <c r="B54" s="12">
        <v>360</v>
      </c>
      <c r="C54" s="1" t="s">
        <v>351</v>
      </c>
      <c r="E54" s="229">
        <v>0</v>
      </c>
      <c r="F54" s="230"/>
      <c r="G54" s="232"/>
      <c r="H54" s="237">
        <f>E54</f>
        <v>0</v>
      </c>
      <c r="I54"/>
      <c r="L54"/>
      <c r="M54"/>
    </row>
    <row r="55" spans="1:13">
      <c r="A55" s="37">
        <f>IF(ISNUMBER(E55),MAX(A$9:A54)+1,"")</f>
        <v>37</v>
      </c>
      <c r="B55" s="12">
        <v>361</v>
      </c>
      <c r="C55" s="1" t="s">
        <v>352</v>
      </c>
      <c r="E55" s="229">
        <v>833037.1</v>
      </c>
      <c r="F55" s="230"/>
      <c r="G55" s="232"/>
      <c r="H55" s="237">
        <f t="shared" ref="H55:H64" si="7">E55</f>
        <v>833037.1</v>
      </c>
      <c r="I55"/>
      <c r="L55"/>
      <c r="M55"/>
    </row>
    <row r="56" spans="1:13">
      <c r="A56" s="37">
        <f>IF(ISNUMBER(E56),MAX(A$9:A55)+1,"")</f>
        <v>38</v>
      </c>
      <c r="B56" s="12">
        <v>362</v>
      </c>
      <c r="C56" s="1" t="s">
        <v>374</v>
      </c>
      <c r="E56" s="229">
        <v>67203015.309999973</v>
      </c>
      <c r="F56" s="230"/>
      <c r="G56" s="232"/>
      <c r="H56" s="237">
        <f t="shared" si="7"/>
        <v>67203015.309999973</v>
      </c>
      <c r="I56"/>
    </row>
    <row r="57" spans="1:13">
      <c r="A57" s="37">
        <f>IF(ISNUMBER(E57),MAX(A$9:A56)+1,"")</f>
        <v>39</v>
      </c>
      <c r="B57" s="12">
        <v>364</v>
      </c>
      <c r="C57" s="1" t="s">
        <v>414</v>
      </c>
      <c r="E57" s="229">
        <v>58325367.310000122</v>
      </c>
      <c r="F57" s="230"/>
      <c r="G57" s="232"/>
      <c r="H57" s="237">
        <f t="shared" si="7"/>
        <v>58325367.310000122</v>
      </c>
      <c r="I57"/>
    </row>
    <row r="58" spans="1:13">
      <c r="A58" s="37">
        <f>IF(ISNUMBER(E58),MAX(A$9:A57)+1,"")</f>
        <v>40</v>
      </c>
      <c r="B58" s="12">
        <v>365</v>
      </c>
      <c r="C58" s="1" t="s">
        <v>370</v>
      </c>
      <c r="E58" s="229">
        <v>40533788.970000066</v>
      </c>
      <c r="F58" s="230"/>
      <c r="G58" s="232"/>
      <c r="H58" s="237">
        <f t="shared" si="7"/>
        <v>40533788.970000066</v>
      </c>
      <c r="I58"/>
    </row>
    <row r="59" spans="1:13">
      <c r="A59" s="37">
        <f>IF(ISNUMBER(E59),MAX(A$9:A58)+1,"")</f>
        <v>41</v>
      </c>
      <c r="B59" s="12">
        <v>366</v>
      </c>
      <c r="C59" s="1" t="s">
        <v>376</v>
      </c>
      <c r="E59" s="229">
        <v>5303765.3699999964</v>
      </c>
      <c r="F59" s="230"/>
      <c r="G59" s="232"/>
      <c r="H59" s="237">
        <f t="shared" si="7"/>
        <v>5303765.3699999964</v>
      </c>
      <c r="I59"/>
    </row>
    <row r="60" spans="1:13">
      <c r="A60" s="37">
        <f>IF(ISNUMBER(E60),MAX(A$9:A59)+1,"")</f>
        <v>42</v>
      </c>
      <c r="B60" s="12">
        <v>367</v>
      </c>
      <c r="C60" s="1" t="s">
        <v>377</v>
      </c>
      <c r="E60" s="229">
        <v>35724309.340000056</v>
      </c>
      <c r="F60" s="230"/>
      <c r="G60" s="232"/>
      <c r="H60" s="237">
        <f t="shared" si="7"/>
        <v>35724309.340000056</v>
      </c>
      <c r="I60"/>
    </row>
    <row r="61" spans="1:13">
      <c r="A61" s="37">
        <f>IF(ISNUMBER(E61),MAX(A$9:A60)+1,"")</f>
        <v>43</v>
      </c>
      <c r="B61" s="12">
        <v>368</v>
      </c>
      <c r="C61" s="1" t="s">
        <v>378</v>
      </c>
      <c r="E61" s="229">
        <v>56494426.129999988</v>
      </c>
      <c r="F61" s="230"/>
      <c r="G61" s="232"/>
      <c r="H61" s="237">
        <f t="shared" si="7"/>
        <v>56494426.129999988</v>
      </c>
      <c r="I61"/>
    </row>
    <row r="62" spans="1:13">
      <c r="A62" s="37">
        <f>IF(ISNUMBER(E62),MAX(A$9:A61)+1,"")</f>
        <v>44</v>
      </c>
      <c r="B62" s="12">
        <v>369</v>
      </c>
      <c r="C62" s="1" t="s">
        <v>379</v>
      </c>
      <c r="E62" s="229">
        <v>18201945.979999989</v>
      </c>
      <c r="F62" s="230"/>
      <c r="G62" s="232"/>
      <c r="H62" s="237">
        <f t="shared" si="7"/>
        <v>18201945.979999989</v>
      </c>
      <c r="I62"/>
    </row>
    <row r="63" spans="1:13">
      <c r="A63" s="37">
        <f>IF(ISNUMBER(E63),MAX(A$9:A62)+1,"")</f>
        <v>45</v>
      </c>
      <c r="B63" s="12">
        <v>370</v>
      </c>
      <c r="C63" s="1" t="s">
        <v>380</v>
      </c>
      <c r="E63" s="229">
        <v>12440718.15000001</v>
      </c>
      <c r="F63" s="230"/>
      <c r="G63" s="232"/>
      <c r="H63" s="237">
        <f t="shared" si="7"/>
        <v>12440718.15000001</v>
      </c>
      <c r="I63"/>
    </row>
    <row r="64" spans="1:13">
      <c r="A64" s="37">
        <f>IF(ISNUMBER(E64),MAX(A$9:A63)+1,"")</f>
        <v>46</v>
      </c>
      <c r="B64" s="12">
        <v>373</v>
      </c>
      <c r="C64" s="1" t="s">
        <v>381</v>
      </c>
      <c r="E64" s="229">
        <v>5481503.5500000017</v>
      </c>
      <c r="F64" s="230"/>
      <c r="G64" s="232"/>
      <c r="H64" s="237">
        <f t="shared" si="7"/>
        <v>5481503.5500000017</v>
      </c>
      <c r="I64"/>
    </row>
    <row r="65" spans="1:11">
      <c r="A65" s="37" t="str">
        <f>IF(ISNUMBER(E65),MAX(A$9:A64)+1,"")</f>
        <v/>
      </c>
      <c r="B65" s="12"/>
      <c r="E65" s="236"/>
      <c r="F65" s="230"/>
      <c r="G65" s="232"/>
      <c r="H65" s="232"/>
      <c r="I65"/>
    </row>
    <row r="66" spans="1:11">
      <c r="A66" s="37">
        <f>IF(ISNUMBER(E66),MAX(A$9:A65)+1,"")</f>
        <v>47</v>
      </c>
      <c r="B66" s="12"/>
      <c r="C66" s="109" t="s">
        <v>415</v>
      </c>
      <c r="D66" s="109"/>
      <c r="E66" s="234">
        <f>SUM(E54:E64)</f>
        <v>300541877.21000028</v>
      </c>
      <c r="F66" s="230"/>
      <c r="G66" s="232"/>
      <c r="H66" s="228">
        <f>SUM(H54:H64)</f>
        <v>300541877.21000028</v>
      </c>
      <c r="I66"/>
    </row>
    <row r="67" spans="1:11">
      <c r="A67" s="37" t="str">
        <f>IF(ISNUMBER(E67),MAX(A$9:A66)+1,"")</f>
        <v/>
      </c>
      <c r="B67" s="12"/>
      <c r="E67" s="232"/>
      <c r="F67" s="230"/>
      <c r="G67" s="232"/>
      <c r="H67" s="232"/>
      <c r="I67"/>
    </row>
    <row r="68" spans="1:11">
      <c r="A68" s="37" t="str">
        <f>IF(ISNUMBER(E68),MAX(A$9:A67)+1,"")</f>
        <v/>
      </c>
      <c r="B68" s="12"/>
      <c r="C68" s="2" t="s">
        <v>416</v>
      </c>
      <c r="D68" s="2"/>
      <c r="E68" s="236"/>
      <c r="F68" s="230"/>
      <c r="G68" s="232"/>
      <c r="H68" s="232"/>
      <c r="I68"/>
    </row>
    <row r="69" spans="1:11">
      <c r="A69" s="37">
        <f>IF(ISNUMBER(E69),MAX(A$9:A68)+1,"")</f>
        <v>48</v>
      </c>
      <c r="B69" s="12">
        <v>389</v>
      </c>
      <c r="C69" s="1" t="s">
        <v>351</v>
      </c>
      <c r="E69" s="229">
        <v>0</v>
      </c>
      <c r="F69" s="230">
        <f t="shared" ref="F69:F82" si="8">ROUND(E69*$H$91,0)</f>
        <v>0</v>
      </c>
      <c r="G69" s="230">
        <f t="shared" ref="G69:G82" si="9">ROUND(E69*$G$89,0)</f>
        <v>0</v>
      </c>
      <c r="H69" s="230">
        <f t="shared" ref="H69:H82" si="10">ROUND(E69*$G$90,0)</f>
        <v>0</v>
      </c>
      <c r="I69" s="11"/>
      <c r="J69" s="110"/>
    </row>
    <row r="70" spans="1:11">
      <c r="A70" s="37">
        <f>IF(ISNUMBER(E70),MAX(A$9:A69)+1,"")</f>
        <v>49</v>
      </c>
      <c r="B70" s="12">
        <v>390</v>
      </c>
      <c r="C70" s="1" t="s">
        <v>352</v>
      </c>
      <c r="D70" s="150" t="s">
        <v>87</v>
      </c>
      <c r="E70" s="229">
        <v>28196102.489999998</v>
      </c>
      <c r="F70" s="230">
        <f t="shared" si="8"/>
        <v>17631696</v>
      </c>
      <c r="G70" s="230">
        <f t="shared" si="9"/>
        <v>4174085</v>
      </c>
      <c r="H70" s="230">
        <f t="shared" si="10"/>
        <v>6390322</v>
      </c>
      <c r="I70" s="11"/>
      <c r="J70" s="110"/>
    </row>
    <row r="71" spans="1:11">
      <c r="A71" s="37">
        <f>IF(ISNUMBER(E71),MAX(A$9:A70)+1,"")</f>
        <v>50</v>
      </c>
      <c r="B71" s="12">
        <v>391</v>
      </c>
      <c r="C71" s="1" t="s">
        <v>384</v>
      </c>
      <c r="D71" s="150" t="s">
        <v>87</v>
      </c>
      <c r="E71" s="229">
        <v>43429163.289999999</v>
      </c>
      <c r="F71" s="230">
        <f t="shared" si="8"/>
        <v>27157293</v>
      </c>
      <c r="G71" s="230">
        <f t="shared" si="9"/>
        <v>6429151</v>
      </c>
      <c r="H71" s="230">
        <f t="shared" si="10"/>
        <v>9842719</v>
      </c>
      <c r="I71" s="11"/>
      <c r="J71" s="110"/>
    </row>
    <row r="72" spans="1:11">
      <c r="A72" s="37">
        <f>IF(ISNUMBER(E72),MAX(A$9:A71)+1,"")</f>
        <v>51</v>
      </c>
      <c r="B72" s="12">
        <v>392</v>
      </c>
      <c r="C72" s="1" t="s">
        <v>385</v>
      </c>
      <c r="D72" s="150" t="s">
        <v>87</v>
      </c>
      <c r="E72" s="229">
        <v>20261895.720000029</v>
      </c>
      <c r="F72" s="230">
        <f t="shared" si="8"/>
        <v>12670247</v>
      </c>
      <c r="G72" s="230">
        <f t="shared" si="9"/>
        <v>2999523</v>
      </c>
      <c r="H72" s="230">
        <f t="shared" si="10"/>
        <v>4592125</v>
      </c>
      <c r="I72" s="11"/>
      <c r="J72" s="110"/>
    </row>
    <row r="73" spans="1:11">
      <c r="A73" s="37">
        <f>IF(ISNUMBER(E73),MAX(A$9:A72)+1,"")</f>
        <v>52</v>
      </c>
      <c r="B73" s="12">
        <v>393</v>
      </c>
      <c r="C73" s="1" t="s">
        <v>386</v>
      </c>
      <c r="D73" s="150" t="s">
        <v>87</v>
      </c>
      <c r="E73" s="229">
        <v>210943.86</v>
      </c>
      <c r="F73" s="230">
        <f t="shared" si="8"/>
        <v>131908</v>
      </c>
      <c r="G73" s="230">
        <f t="shared" si="9"/>
        <v>31228</v>
      </c>
      <c r="H73" s="230">
        <f t="shared" si="10"/>
        <v>47808</v>
      </c>
      <c r="I73" s="11"/>
      <c r="J73" s="110"/>
    </row>
    <row r="74" spans="1:11">
      <c r="A74" s="37">
        <f>IF(ISNUMBER(E74),MAX(A$9:A73)+1,"")</f>
        <v>53</v>
      </c>
      <c r="B74" s="12">
        <v>394</v>
      </c>
      <c r="C74" s="1" t="s">
        <v>387</v>
      </c>
      <c r="D74" s="150" t="s">
        <v>87</v>
      </c>
      <c r="E74" s="229">
        <v>4423303.2300000004</v>
      </c>
      <c r="F74" s="230">
        <f t="shared" si="8"/>
        <v>2765997</v>
      </c>
      <c r="G74" s="230">
        <f t="shared" si="9"/>
        <v>654815</v>
      </c>
      <c r="H74" s="230">
        <f t="shared" si="10"/>
        <v>1002491</v>
      </c>
      <c r="I74" s="11"/>
      <c r="J74" s="110"/>
    </row>
    <row r="75" spans="1:11">
      <c r="A75" s="37">
        <f>IF(ISNUMBER(E75),MAX(A$9:A74)+1,"")</f>
        <v>54</v>
      </c>
      <c r="B75" s="12">
        <v>395</v>
      </c>
      <c r="C75" s="1" t="s">
        <v>388</v>
      </c>
      <c r="D75" s="150" t="s">
        <v>87</v>
      </c>
      <c r="E75" s="229">
        <v>493371.12</v>
      </c>
      <c r="F75" s="230">
        <f t="shared" si="8"/>
        <v>308517</v>
      </c>
      <c r="G75" s="230">
        <f t="shared" si="9"/>
        <v>73037</v>
      </c>
      <c r="H75" s="230">
        <f t="shared" si="10"/>
        <v>111817</v>
      </c>
      <c r="I75" s="11"/>
      <c r="J75" s="110"/>
    </row>
    <row r="76" spans="1:11">
      <c r="A76" s="37">
        <f>IF(ISNUMBER(E76),MAX(A$9:A75)+1,"")</f>
        <v>55</v>
      </c>
      <c r="B76" s="12">
        <v>396</v>
      </c>
      <c r="C76" s="1" t="s">
        <v>389</v>
      </c>
      <c r="D76" s="150" t="s">
        <v>87</v>
      </c>
      <c r="E76" s="229">
        <v>368133.91</v>
      </c>
      <c r="F76" s="230">
        <f t="shared" si="8"/>
        <v>230203</v>
      </c>
      <c r="G76" s="230">
        <f t="shared" si="9"/>
        <v>54498</v>
      </c>
      <c r="H76" s="230">
        <f t="shared" si="10"/>
        <v>83433</v>
      </c>
      <c r="I76" s="11"/>
      <c r="J76" s="110"/>
    </row>
    <row r="77" spans="1:11">
      <c r="A77" s="37">
        <f>IF(ISNUMBER(E77),MAX(A$9:A76)+1,"")</f>
        <v>56</v>
      </c>
      <c r="B77" s="12">
        <v>397</v>
      </c>
      <c r="C77" s="1" t="s">
        <v>390</v>
      </c>
      <c r="D77" s="150" t="s">
        <v>87</v>
      </c>
      <c r="E77" s="229">
        <v>144966008.98000017</v>
      </c>
      <c r="F77" s="230">
        <f t="shared" si="8"/>
        <v>90650708</v>
      </c>
      <c r="G77" s="230">
        <f t="shared" si="9"/>
        <v>21460427</v>
      </c>
      <c r="H77" s="230">
        <f t="shared" si="10"/>
        <v>32854875</v>
      </c>
      <c r="I77" s="11"/>
      <c r="J77" s="110"/>
      <c r="K77" s="11"/>
    </row>
    <row r="78" spans="1:11">
      <c r="A78" s="37">
        <f>IF(ISNUMBER(E78),MAX(A$9:A77)+1,"")</f>
        <v>57</v>
      </c>
      <c r="B78" s="12">
        <v>398</v>
      </c>
      <c r="C78" s="1" t="s">
        <v>391</v>
      </c>
      <c r="D78" s="150" t="s">
        <v>87</v>
      </c>
      <c r="E78" s="229">
        <v>4216258.83</v>
      </c>
      <c r="F78" s="230">
        <f t="shared" si="8"/>
        <v>2636527</v>
      </c>
      <c r="G78" s="230">
        <f t="shared" si="9"/>
        <v>624165</v>
      </c>
      <c r="H78" s="230">
        <f t="shared" si="10"/>
        <v>955566</v>
      </c>
      <c r="I78" s="11"/>
      <c r="J78" s="110"/>
    </row>
    <row r="79" spans="1:11">
      <c r="A79" s="37">
        <f>IF(ISNUMBER(E79),MAX(A$9:A78)+1,"")</f>
        <v>58</v>
      </c>
      <c r="B79" s="12">
        <v>397</v>
      </c>
      <c r="C79" s="1" t="s">
        <v>392</v>
      </c>
      <c r="E79" s="238">
        <f>ROUND(E77/'Gross Plant In Service-Exh. V'!E74*'Gross Plant In Service-Exh. V'!E76,0)</f>
        <v>-109686165</v>
      </c>
      <c r="F79" s="230">
        <f t="shared" si="8"/>
        <v>-68589379</v>
      </c>
      <c r="G79" s="230">
        <f t="shared" si="9"/>
        <v>-16237682</v>
      </c>
      <c r="H79" s="230">
        <f t="shared" si="10"/>
        <v>-24859105</v>
      </c>
      <c r="J79" s="110"/>
      <c r="K79" s="224"/>
    </row>
    <row r="80" spans="1:11">
      <c r="A80" s="37">
        <f>IF(ISNUMBER(E80),MAX(A$9:A79)+1,"")</f>
        <v>59</v>
      </c>
      <c r="B80" s="12">
        <v>390</v>
      </c>
      <c r="C80" s="1" t="s">
        <v>360</v>
      </c>
      <c r="E80" s="238">
        <v>-11881870</v>
      </c>
      <c r="F80" s="230">
        <f t="shared" si="8"/>
        <v>-7430017</v>
      </c>
      <c r="G80" s="230">
        <f t="shared" si="9"/>
        <v>-1758964</v>
      </c>
      <c r="H80" s="230">
        <f t="shared" si="10"/>
        <v>-2692889</v>
      </c>
      <c r="J80" s="110"/>
    </row>
    <row r="81" spans="1:15">
      <c r="A81" s="37">
        <f>IF(ISNUMBER(E81),MAX(A$9:A80)+1,"")</f>
        <v>60</v>
      </c>
      <c r="B81" s="12">
        <v>391</v>
      </c>
      <c r="C81" s="1" t="s">
        <v>361</v>
      </c>
      <c r="E81" s="238">
        <v>-18976641</v>
      </c>
      <c r="F81" s="230">
        <f t="shared" si="8"/>
        <v>-11866547</v>
      </c>
      <c r="G81" s="230">
        <f t="shared" si="9"/>
        <v>-2809257</v>
      </c>
      <c r="H81" s="230">
        <f t="shared" si="10"/>
        <v>-4300837</v>
      </c>
      <c r="J81" s="110"/>
    </row>
    <row r="82" spans="1:15">
      <c r="A82" s="37">
        <f>IF(ISNUMBER(E82),MAX(A$9:A81)+1,"")</f>
        <v>61</v>
      </c>
      <c r="B82" s="12">
        <v>398</v>
      </c>
      <c r="C82" s="1" t="s">
        <v>362</v>
      </c>
      <c r="E82" s="239">
        <v>-2745566</v>
      </c>
      <c r="F82" s="235">
        <f t="shared" si="8"/>
        <v>-1716868</v>
      </c>
      <c r="G82" s="235">
        <f t="shared" si="9"/>
        <v>-406447</v>
      </c>
      <c r="H82" s="235">
        <f t="shared" si="10"/>
        <v>-622251</v>
      </c>
      <c r="J82" s="110"/>
    </row>
    <row r="83" spans="1:15">
      <c r="A83" s="37">
        <f>IF(ISNUMBER(E83),MAX(A$9:A82)+1,"")</f>
        <v>62</v>
      </c>
      <c r="B83" s="12"/>
      <c r="C83" s="109" t="s">
        <v>417</v>
      </c>
      <c r="D83" s="109"/>
      <c r="E83" s="236">
        <f>SUM(E69:E82)</f>
        <v>103274939.43000022</v>
      </c>
      <c r="F83" s="236">
        <f>SUM(F69:F82)</f>
        <v>64580285</v>
      </c>
      <c r="G83" s="236">
        <f>SUM(G69:G82)</f>
        <v>15288579</v>
      </c>
      <c r="H83" s="236">
        <f>SUM(H69:H82)</f>
        <v>23406074</v>
      </c>
      <c r="M83"/>
      <c r="N83"/>
      <c r="O83"/>
    </row>
    <row r="84" spans="1:15">
      <c r="A84" s="37" t="str">
        <f>IF(ISNUMBER(E84),MAX(A$9:A83)+1,"")</f>
        <v/>
      </c>
      <c r="B84" s="12"/>
      <c r="E84" s="236"/>
      <c r="F84" s="230"/>
      <c r="G84" s="232"/>
      <c r="H84" s="232"/>
    </row>
    <row r="85" spans="1:15">
      <c r="A85" s="37">
        <f>IF(ISNUMBER(E85),MAX(A$9:A84)+1,"")</f>
        <v>63</v>
      </c>
      <c r="B85" s="12"/>
      <c r="C85" s="109" t="s">
        <v>418</v>
      </c>
      <c r="D85" s="109"/>
      <c r="E85" s="236">
        <f>E83+E66+E50+E38+E19+E34</f>
        <v>985982531.96000051</v>
      </c>
      <c r="F85" s="236">
        <f>F83+F66+F50+F38+F19+F34</f>
        <v>559845701.03999996</v>
      </c>
      <c r="G85" s="233">
        <f>G83+G66+G50+G38+G19+G34</f>
        <v>101081182.53999998</v>
      </c>
      <c r="H85" s="233">
        <f>H83+H66+H50+H38+H19+H34</f>
        <v>325055646.21000028</v>
      </c>
    </row>
    <row r="86" spans="1:15">
      <c r="B86" s="12"/>
      <c r="E86" s="232"/>
      <c r="F86" s="230"/>
      <c r="G86" s="232"/>
      <c r="H86" s="237"/>
    </row>
    <row r="87" spans="1:15" ht="19.5" thickBot="1">
      <c r="B87" s="219" t="s">
        <v>87</v>
      </c>
      <c r="C87" s="71" t="s">
        <v>140</v>
      </c>
      <c r="D87" s="71"/>
      <c r="E87" s="232"/>
      <c r="F87" s="232"/>
      <c r="G87" s="240" t="s">
        <v>141</v>
      </c>
      <c r="H87" s="232"/>
    </row>
    <row r="88" spans="1:15">
      <c r="C88" s="6" t="s">
        <v>133</v>
      </c>
      <c r="D88" s="6"/>
      <c r="E88" s="232"/>
      <c r="F88" s="232"/>
      <c r="G88" s="241">
        <f>'Allocation Factors-Exh. III'!J34</f>
        <v>0.51302686091922756</v>
      </c>
      <c r="H88" s="232"/>
    </row>
    <row r="89" spans="1:15">
      <c r="C89" s="6" t="s">
        <v>329</v>
      </c>
      <c r="D89" s="6"/>
      <c r="E89" s="232"/>
      <c r="F89" s="232"/>
      <c r="G89" s="241">
        <f>'Allocation Factors-Exh. III'!J35</f>
        <v>0.14803764489174498</v>
      </c>
      <c r="H89" s="232"/>
    </row>
    <row r="90" spans="1:15">
      <c r="C90" s="6" t="s">
        <v>330</v>
      </c>
      <c r="D90" s="6"/>
      <c r="E90" s="232"/>
      <c r="F90" s="232"/>
      <c r="G90" s="241">
        <f>'Allocation Factors-Exh. III'!J36</f>
        <v>0.22663847043140981</v>
      </c>
      <c r="H90" s="232"/>
    </row>
    <row r="91" spans="1:15">
      <c r="C91" s="6" t="s">
        <v>204</v>
      </c>
      <c r="D91" s="6"/>
      <c r="E91" s="232"/>
      <c r="F91" s="232"/>
      <c r="G91" s="242">
        <f>'Allocation Factors-Exh. III'!J37</f>
        <v>0.11229702375761763</v>
      </c>
      <c r="H91" s="243">
        <f>G88+G91</f>
        <v>0.62532388467684519</v>
      </c>
    </row>
    <row r="92" spans="1:15">
      <c r="C92" s="8" t="s">
        <v>149</v>
      </c>
      <c r="D92" s="8"/>
      <c r="E92" s="232"/>
      <c r="F92" s="232"/>
      <c r="G92" s="244">
        <f>SUM(G88:G91)</f>
        <v>1</v>
      </c>
      <c r="H92" s="232"/>
    </row>
    <row r="93" spans="1:15">
      <c r="E93" s="232"/>
      <c r="F93" s="232"/>
      <c r="G93" s="232"/>
      <c r="H93" s="232"/>
    </row>
    <row r="94" spans="1:15">
      <c r="E94" s="232"/>
      <c r="F94" s="232"/>
      <c r="G94" s="232"/>
      <c r="H94" s="232"/>
    </row>
    <row r="95" spans="1:15">
      <c r="E95" s="232"/>
      <c r="F95" s="232"/>
      <c r="G95" s="232"/>
      <c r="H95" s="232"/>
    </row>
    <row r="96" spans="1:15">
      <c r="E96" s="232"/>
      <c r="F96" s="232"/>
      <c r="G96" s="232"/>
      <c r="H96" s="232"/>
    </row>
    <row r="97" spans="5:8">
      <c r="E97" s="232"/>
      <c r="F97" s="232"/>
      <c r="G97" s="232"/>
      <c r="H97" s="232"/>
    </row>
    <row r="98" spans="5:8">
      <c r="E98" s="232"/>
      <c r="F98" s="232"/>
      <c r="G98" s="232"/>
      <c r="H98" s="232"/>
    </row>
    <row r="99" spans="5:8">
      <c r="E99" s="232"/>
      <c r="F99" s="232"/>
      <c r="G99" s="232"/>
      <c r="H99" s="232"/>
    </row>
    <row r="100" spans="5:8">
      <c r="E100" s="232"/>
      <c r="F100" s="232"/>
      <c r="G100" s="232"/>
      <c r="H100" s="232"/>
    </row>
    <row r="101" spans="5:8">
      <c r="E101" s="232"/>
      <c r="F101" s="232"/>
      <c r="G101" s="232"/>
      <c r="H101" s="232"/>
    </row>
    <row r="102" spans="5:8">
      <c r="E102" s="232"/>
      <c r="F102" s="232"/>
      <c r="G102" s="232"/>
      <c r="H102" s="232"/>
    </row>
    <row r="103" spans="5:8">
      <c r="E103" s="232"/>
      <c r="F103" s="232"/>
      <c r="G103" s="232"/>
      <c r="H103" s="232"/>
    </row>
    <row r="104" spans="5:8">
      <c r="E104" s="232"/>
      <c r="F104" s="232"/>
      <c r="G104" s="232"/>
      <c r="H104" s="232"/>
    </row>
    <row r="105" spans="5:8">
      <c r="E105" s="232"/>
      <c r="F105" s="232"/>
      <c r="G105" s="232"/>
      <c r="H105" s="232"/>
    </row>
    <row r="106" spans="5:8">
      <c r="E106" s="232"/>
      <c r="F106" s="232"/>
      <c r="G106" s="232"/>
      <c r="H106" s="232"/>
    </row>
    <row r="107" spans="5:8">
      <c r="E107" s="232"/>
      <c r="F107" s="232"/>
      <c r="G107" s="232"/>
      <c r="H107" s="232"/>
    </row>
    <row r="108" spans="5:8">
      <c r="E108" s="232"/>
      <c r="F108" s="232"/>
      <c r="G108" s="232"/>
      <c r="H108" s="232"/>
    </row>
    <row r="109" spans="5:8">
      <c r="E109" s="232"/>
      <c r="F109" s="232"/>
      <c r="G109" s="232"/>
      <c r="H109" s="232"/>
    </row>
    <row r="110" spans="5:8">
      <c r="E110" s="232"/>
      <c r="F110" s="232"/>
      <c r="G110" s="232"/>
      <c r="H110" s="232"/>
    </row>
    <row r="111" spans="5:8">
      <c r="E111" s="232"/>
      <c r="F111" s="232"/>
      <c r="G111" s="232"/>
      <c r="H111" s="232"/>
    </row>
    <row r="112" spans="5:8">
      <c r="E112" s="232"/>
      <c r="F112" s="232"/>
      <c r="G112" s="232"/>
      <c r="H112" s="232"/>
    </row>
    <row r="113" spans="5:8">
      <c r="E113" s="232"/>
      <c r="F113" s="232"/>
      <c r="G113" s="232"/>
      <c r="H113" s="232"/>
    </row>
    <row r="114" spans="5:8">
      <c r="E114" s="232"/>
      <c r="F114" s="232"/>
      <c r="G114" s="232"/>
      <c r="H114" s="232"/>
    </row>
    <row r="115" spans="5:8">
      <c r="E115" s="232"/>
      <c r="F115" s="232"/>
      <c r="G115" s="232"/>
      <c r="H115" s="232"/>
    </row>
    <row r="116" spans="5:8">
      <c r="E116" s="232"/>
      <c r="F116" s="232"/>
      <c r="G116" s="232"/>
      <c r="H116" s="232"/>
    </row>
    <row r="117" spans="5:8">
      <c r="E117" s="232"/>
      <c r="F117" s="232"/>
      <c r="G117" s="232"/>
      <c r="H117" s="232"/>
    </row>
    <row r="118" spans="5:8">
      <c r="E118" s="232"/>
      <c r="F118" s="232"/>
      <c r="G118" s="232"/>
      <c r="H118" s="232"/>
    </row>
    <row r="119" spans="5:8">
      <c r="E119" s="232"/>
      <c r="F119" s="232"/>
      <c r="G119" s="232"/>
      <c r="H119" s="232"/>
    </row>
    <row r="120" spans="5:8">
      <c r="E120" s="232"/>
      <c r="F120" s="232"/>
      <c r="G120" s="232"/>
      <c r="H120" s="232"/>
    </row>
    <row r="121" spans="5:8">
      <c r="E121" s="232"/>
      <c r="F121" s="232"/>
      <c r="G121" s="232"/>
      <c r="H121" s="232"/>
    </row>
    <row r="122" spans="5:8">
      <c r="E122" s="232"/>
      <c r="F122" s="232"/>
      <c r="G122" s="232"/>
      <c r="H122" s="232"/>
    </row>
    <row r="123" spans="5:8">
      <c r="E123" s="232"/>
      <c r="F123" s="232"/>
      <c r="G123" s="232"/>
      <c r="H123" s="232"/>
    </row>
    <row r="124" spans="5:8">
      <c r="E124" s="232"/>
      <c r="F124" s="232"/>
      <c r="G124" s="232"/>
      <c r="H124" s="232"/>
    </row>
    <row r="125" spans="5:8">
      <c r="E125" s="232"/>
      <c r="F125" s="232"/>
      <c r="G125" s="232"/>
      <c r="H125" s="232"/>
    </row>
    <row r="126" spans="5:8">
      <c r="E126" s="232"/>
      <c r="F126" s="232"/>
      <c r="G126" s="232"/>
      <c r="H126" s="232"/>
    </row>
  </sheetData>
  <pageMargins left="1" right="0" top="0" bottom="0" header="0" footer="0"/>
  <pageSetup scale="47" orientation="portrait" r:id="rId1"/>
  <headerFooter>
    <oddHeader>&amp;RExhibit VI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26D5549856F648BE8E0E9674CEAC70" ma:contentTypeVersion="10" ma:contentTypeDescription="Create a new document." ma:contentTypeScope="" ma:versionID="25cefa9fb4fe6e09a6e36051f8f0c20a">
  <xsd:schema xmlns:xsd="http://www.w3.org/2001/XMLSchema" xmlns:xs="http://www.w3.org/2001/XMLSchema" xmlns:p="http://schemas.microsoft.com/office/2006/metadata/properties" xmlns:ns3="4be8ff23-44e3-48dd-84e8-341c2653ee32" xmlns:ns4="3ea8dcab-8dd3-4c58-bd6b-5fd63df73491" targetNamespace="http://schemas.microsoft.com/office/2006/metadata/properties" ma:root="true" ma:fieldsID="2ed96922105a048920766d0fc0dc70e8" ns3:_="" ns4:_="">
    <xsd:import namespace="4be8ff23-44e3-48dd-84e8-341c2653ee32"/>
    <xsd:import namespace="3ea8dcab-8dd3-4c58-bd6b-5fd63df734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8ff23-44e3-48dd-84e8-341c2653ee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8dcab-8dd3-4c58-bd6b-5fd63df73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7B7F79-0064-4B6B-9E19-A2F4ADE877B5}"/>
</file>

<file path=customXml/itemProps2.xml><?xml version="1.0" encoding="utf-8"?>
<ds:datastoreItem xmlns:ds="http://schemas.openxmlformats.org/officeDocument/2006/customXml" ds:itemID="{B94F7F8F-27D4-4BD8-833E-2E3235565E00}"/>
</file>

<file path=customXml/itemProps3.xml><?xml version="1.0" encoding="utf-8"?>
<ds:datastoreItem xmlns:ds="http://schemas.openxmlformats.org/officeDocument/2006/customXml" ds:itemID="{D09902CA-C65A-453D-848F-BD9593331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Grant County PUD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Brill</dc:creator>
  <cp:keywords/>
  <dc:description/>
  <cp:lastModifiedBy>Julio Aguirre Carmona</cp:lastModifiedBy>
  <cp:revision/>
  <dcterms:created xsi:type="dcterms:W3CDTF">2019-09-25T21:43:22Z</dcterms:created>
  <dcterms:modified xsi:type="dcterms:W3CDTF">2021-12-28T23:22:13Z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0x010100BD26D5549856F648BE8E0E9674CEAC70</vt:lpwstr>
  </property>
</Properties>
</file>